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2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entcarlson/Desktop/"/>
    </mc:Choice>
  </mc:AlternateContent>
  <xr:revisionPtr revIDLastSave="0" documentId="8_{54C13213-05A9-984E-9053-4B22C20A839E}" xr6:coauthVersionLast="47" xr6:coauthVersionMax="47" xr10:uidLastSave="{00000000-0000-0000-0000-000000000000}"/>
  <bookViews>
    <workbookView xWindow="1400" yWindow="500" windowWidth="34440" windowHeight="21900" xr2:uid="{32C77B6C-AD1F-824F-9BC6-AF140834E140}"/>
  </bookViews>
  <sheets>
    <sheet name="Official Summary" sheetId="4" r:id="rId1"/>
    <sheet name="Assumptions" sheetId="1" r:id="rId2"/>
    <sheet name="Sources&amp;Uses" sheetId="3" r:id="rId3"/>
    <sheet name="Budget" sheetId="5" r:id="rId4"/>
    <sheet name="Housing" sheetId="2" r:id="rId5"/>
    <sheet name="Public and Infrastructure" sheetId="6" r:id="rId6"/>
    <sheet name="TIF" sheetId="7" r:id="rId7"/>
    <sheet name="Land" sheetId="8" r:id="rId8"/>
    <sheet name="Phase I Pro Forma" sheetId="9" r:id="rId9"/>
    <sheet name="Phase II Pro Forma" sheetId="17" r:id="rId10"/>
    <sheet name="Phase III Pro Forma" sheetId="18" r:id="rId11"/>
    <sheet name="Combined Pro Forma" sheetId="19" r:id="rId12"/>
    <sheet name="PAF" sheetId="14" r:id="rId13"/>
  </sheets>
  <definedNames>
    <definedName name="_xlnm.Print_Area" localSheetId="0">'Official Summary'!$A$1:$N$85</definedName>
  </definedNames>
  <calcPr calcId="191028" iterate="1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8" i="14" l="1"/>
  <c r="F48" i="14"/>
  <c r="G48" i="14"/>
  <c r="H48" i="14" s="1"/>
  <c r="I48" i="14" s="1"/>
  <c r="E47" i="14"/>
  <c r="F47" i="14" s="1"/>
  <c r="H47" i="14" s="1"/>
  <c r="I47" i="14" s="1"/>
  <c r="G47" i="14"/>
  <c r="I46" i="14"/>
  <c r="I45" i="14"/>
  <c r="I44" i="14"/>
  <c r="I43" i="14"/>
  <c r="I18" i="14"/>
  <c r="I17" i="14"/>
  <c r="H17" i="14"/>
  <c r="F14" i="14"/>
  <c r="D13" i="14"/>
  <c r="D14" i="14"/>
  <c r="D15" i="14"/>
  <c r="D16" i="14"/>
  <c r="D17" i="14"/>
  <c r="D18" i="14"/>
  <c r="D19" i="14"/>
  <c r="D20" i="14"/>
  <c r="D21" i="14"/>
  <c r="G14" i="14"/>
  <c r="E3" i="14"/>
  <c r="E14" i="14"/>
  <c r="E15" i="14"/>
  <c r="E16" i="14" s="1"/>
  <c r="E17" i="14" s="1"/>
  <c r="E18" i="14" s="1"/>
  <c r="E19" i="14" s="1"/>
  <c r="E20" i="14" s="1"/>
  <c r="E21" i="14" s="1"/>
  <c r="E22" i="14" s="1"/>
  <c r="E23" i="14" s="1"/>
  <c r="E24" i="14" s="1"/>
  <c r="E25" i="14" s="1"/>
  <c r="E26" i="14" s="1"/>
  <c r="E27" i="14" s="1"/>
  <c r="E28" i="14" s="1"/>
  <c r="E29" i="14" s="1"/>
  <c r="E30" i="14" s="1"/>
  <c r="E31" i="14" s="1"/>
  <c r="E32" i="14" s="1"/>
  <c r="E33" i="14" s="1"/>
  <c r="E34" i="14" s="1"/>
  <c r="E35" i="14" s="1"/>
  <c r="E36" i="14" s="1"/>
  <c r="E37" i="14" s="1"/>
  <c r="E38" i="14" s="1"/>
  <c r="E39" i="14" s="1"/>
  <c r="E40" i="14" s="1"/>
  <c r="E41" i="14" s="1"/>
  <c r="E42" i="14" s="1"/>
  <c r="E43" i="14" s="1"/>
  <c r="E44" i="14" s="1"/>
  <c r="E45" i="14" s="1"/>
  <c r="E46" i="14" s="1"/>
  <c r="E13" i="14"/>
  <c r="M42" i="4"/>
  <c r="V18" i="1"/>
  <c r="D62" i="4"/>
  <c r="D61" i="4"/>
  <c r="D60" i="4"/>
  <c r="D59" i="4"/>
  <c r="E59" i="4"/>
  <c r="E94" i="18"/>
  <c r="F94" i="18"/>
  <c r="G94" i="18"/>
  <c r="H94" i="18"/>
  <c r="I94" i="18"/>
  <c r="J94" i="18"/>
  <c r="K94" i="18"/>
  <c r="L94" i="18"/>
  <c r="M94" i="18"/>
  <c r="N94" i="18"/>
  <c r="O94" i="18"/>
  <c r="P94" i="18"/>
  <c r="Q94" i="18"/>
  <c r="R94" i="18"/>
  <c r="D94" i="18"/>
  <c r="S44" i="1"/>
  <c r="T44" i="1"/>
  <c r="U44" i="1"/>
  <c r="V44" i="1"/>
  <c r="K82" i="4"/>
  <c r="K81" i="4"/>
  <c r="E83" i="4"/>
  <c r="O3" i="5"/>
  <c r="N3" i="5"/>
  <c r="M3" i="5"/>
  <c r="L3" i="5"/>
  <c r="K3" i="5"/>
  <c r="O2" i="5"/>
  <c r="N2" i="5"/>
  <c r="M2" i="5"/>
  <c r="L2" i="5"/>
  <c r="K2" i="5"/>
  <c r="M41" i="4"/>
  <c r="M40" i="4"/>
  <c r="M39" i="4"/>
  <c r="M43" i="4" s="1"/>
  <c r="M29" i="4"/>
  <c r="M28" i="4"/>
  <c r="C26" i="4"/>
  <c r="M24" i="4"/>
  <c r="D24" i="4"/>
  <c r="C24" i="4"/>
  <c r="D26" i="4"/>
  <c r="M26" i="4"/>
  <c r="M10" i="4"/>
  <c r="M25" i="4"/>
  <c r="M23" i="4"/>
  <c r="F180" i="9"/>
  <c r="G180" i="9"/>
  <c r="H180" i="9"/>
  <c r="I180" i="9"/>
  <c r="J180" i="9"/>
  <c r="K180" i="9"/>
  <c r="L180" i="9"/>
  <c r="M180" i="9"/>
  <c r="N180" i="9"/>
  <c r="O180" i="9"/>
  <c r="P180" i="9"/>
  <c r="Q180" i="9"/>
  <c r="R180" i="9"/>
  <c r="D180" i="9"/>
  <c r="F180" i="18"/>
  <c r="G180" i="18"/>
  <c r="H180" i="18"/>
  <c r="I180" i="18"/>
  <c r="J180" i="18"/>
  <c r="K180" i="18"/>
  <c r="L180" i="18"/>
  <c r="M180" i="18"/>
  <c r="N180" i="18"/>
  <c r="O180" i="18"/>
  <c r="P180" i="18"/>
  <c r="Q180" i="18"/>
  <c r="R180" i="18"/>
  <c r="E181" i="18"/>
  <c r="I181" i="18"/>
  <c r="J181" i="18"/>
  <c r="K181" i="18"/>
  <c r="L181" i="18"/>
  <c r="M181" i="18"/>
  <c r="N181" i="18"/>
  <c r="O181" i="18"/>
  <c r="P181" i="18"/>
  <c r="Q181" i="18"/>
  <c r="R181" i="18"/>
  <c r="E182" i="18"/>
  <c r="I182" i="18"/>
  <c r="J182" i="18"/>
  <c r="K182" i="18"/>
  <c r="L182" i="18"/>
  <c r="M182" i="18"/>
  <c r="N182" i="18"/>
  <c r="O182" i="18"/>
  <c r="P182" i="18"/>
  <c r="Q182" i="18"/>
  <c r="R182" i="18"/>
  <c r="E183" i="18"/>
  <c r="I183" i="18"/>
  <c r="J183" i="18"/>
  <c r="K183" i="18"/>
  <c r="L183" i="18"/>
  <c r="M183" i="18"/>
  <c r="N183" i="18"/>
  <c r="O183" i="18"/>
  <c r="P183" i="18"/>
  <c r="Q183" i="18"/>
  <c r="R183" i="18"/>
  <c r="E184" i="18"/>
  <c r="I184" i="18"/>
  <c r="J184" i="18"/>
  <c r="K184" i="18"/>
  <c r="L184" i="18"/>
  <c r="M184" i="18"/>
  <c r="N184" i="18"/>
  <c r="O184" i="18"/>
  <c r="P184" i="18"/>
  <c r="Q184" i="18"/>
  <c r="R184" i="18"/>
  <c r="E185" i="18"/>
  <c r="F185" i="18"/>
  <c r="G185" i="18"/>
  <c r="H185" i="18"/>
  <c r="I185" i="18"/>
  <c r="J185" i="18"/>
  <c r="K185" i="18"/>
  <c r="L185" i="18"/>
  <c r="M185" i="18"/>
  <c r="N185" i="18"/>
  <c r="O185" i="18"/>
  <c r="P185" i="18"/>
  <c r="Q185" i="18"/>
  <c r="R185" i="18"/>
  <c r="E186" i="18"/>
  <c r="I186" i="18"/>
  <c r="J186" i="18"/>
  <c r="K186" i="18"/>
  <c r="L186" i="18"/>
  <c r="M186" i="18"/>
  <c r="N186" i="18"/>
  <c r="O186" i="18"/>
  <c r="P186" i="18"/>
  <c r="Q186" i="18"/>
  <c r="R186" i="18"/>
  <c r="D186" i="18"/>
  <c r="D185" i="18"/>
  <c r="D184" i="18"/>
  <c r="D183" i="18"/>
  <c r="D182" i="18"/>
  <c r="D181" i="18"/>
  <c r="D180" i="18"/>
  <c r="F141" i="18"/>
  <c r="G141" i="18"/>
  <c r="H141" i="18"/>
  <c r="I141" i="18"/>
  <c r="J141" i="18"/>
  <c r="K141" i="18"/>
  <c r="L141" i="18"/>
  <c r="M141" i="18"/>
  <c r="N141" i="18"/>
  <c r="O141" i="18"/>
  <c r="P141" i="18"/>
  <c r="Q141" i="18"/>
  <c r="R141" i="18"/>
  <c r="E142" i="18"/>
  <c r="I142" i="18"/>
  <c r="J142" i="18"/>
  <c r="K142" i="18"/>
  <c r="L142" i="18"/>
  <c r="M142" i="18"/>
  <c r="N142" i="18"/>
  <c r="O142" i="18"/>
  <c r="P142" i="18"/>
  <c r="Q142" i="18"/>
  <c r="R142" i="18"/>
  <c r="E143" i="18"/>
  <c r="I143" i="18"/>
  <c r="J143" i="18"/>
  <c r="K143" i="18"/>
  <c r="L143" i="18"/>
  <c r="M143" i="18"/>
  <c r="N143" i="18"/>
  <c r="O143" i="18"/>
  <c r="P143" i="18"/>
  <c r="Q143" i="18"/>
  <c r="R143" i="18"/>
  <c r="E144" i="18"/>
  <c r="I144" i="18"/>
  <c r="J144" i="18"/>
  <c r="K144" i="18"/>
  <c r="L144" i="18"/>
  <c r="M144" i="18"/>
  <c r="N144" i="18"/>
  <c r="O144" i="18"/>
  <c r="P144" i="18"/>
  <c r="Q144" i="18"/>
  <c r="R144" i="18"/>
  <c r="E145" i="18"/>
  <c r="I145" i="18"/>
  <c r="J145" i="18"/>
  <c r="K145" i="18"/>
  <c r="L145" i="18"/>
  <c r="M145" i="18"/>
  <c r="N145" i="18"/>
  <c r="O145" i="18"/>
  <c r="P145" i="18"/>
  <c r="Q145" i="18"/>
  <c r="R145" i="18"/>
  <c r="E146" i="18"/>
  <c r="F146" i="18"/>
  <c r="G146" i="18"/>
  <c r="H146" i="18"/>
  <c r="I146" i="18"/>
  <c r="J146" i="18"/>
  <c r="K146" i="18"/>
  <c r="L146" i="18"/>
  <c r="M146" i="18"/>
  <c r="N146" i="18"/>
  <c r="O146" i="18"/>
  <c r="P146" i="18"/>
  <c r="Q146" i="18"/>
  <c r="R146" i="18"/>
  <c r="E147" i="18"/>
  <c r="I147" i="18"/>
  <c r="J147" i="18"/>
  <c r="K147" i="18"/>
  <c r="L147" i="18"/>
  <c r="M147" i="18"/>
  <c r="N147" i="18"/>
  <c r="O147" i="18"/>
  <c r="P147" i="18"/>
  <c r="Q147" i="18"/>
  <c r="R147" i="18"/>
  <c r="D147" i="18"/>
  <c r="D146" i="18"/>
  <c r="D145" i="18"/>
  <c r="D144" i="18"/>
  <c r="D143" i="18"/>
  <c r="D142" i="18"/>
  <c r="D141" i="18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E181" i="17"/>
  <c r="I181" i="17"/>
  <c r="J181" i="17"/>
  <c r="K181" i="17"/>
  <c r="L181" i="17"/>
  <c r="M181" i="17"/>
  <c r="N181" i="17"/>
  <c r="O181" i="17"/>
  <c r="P181" i="17"/>
  <c r="Q181" i="17"/>
  <c r="R181" i="17"/>
  <c r="E182" i="17"/>
  <c r="I182" i="17"/>
  <c r="J182" i="17"/>
  <c r="K182" i="17"/>
  <c r="L182" i="17"/>
  <c r="M182" i="17"/>
  <c r="N182" i="17"/>
  <c r="O182" i="17"/>
  <c r="P182" i="17"/>
  <c r="Q182" i="17"/>
  <c r="R182" i="17"/>
  <c r="E183" i="17"/>
  <c r="I183" i="17"/>
  <c r="J183" i="17"/>
  <c r="K183" i="17"/>
  <c r="L183" i="17"/>
  <c r="M183" i="17"/>
  <c r="N183" i="17"/>
  <c r="O183" i="17"/>
  <c r="P183" i="17"/>
  <c r="Q183" i="17"/>
  <c r="R183" i="17"/>
  <c r="E184" i="17"/>
  <c r="I184" i="17"/>
  <c r="J184" i="17"/>
  <c r="K184" i="17"/>
  <c r="L184" i="17"/>
  <c r="M184" i="17"/>
  <c r="N184" i="17"/>
  <c r="O184" i="17"/>
  <c r="P184" i="17"/>
  <c r="Q184" i="17"/>
  <c r="R184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E186" i="17"/>
  <c r="I186" i="17"/>
  <c r="J186" i="17"/>
  <c r="K186" i="17"/>
  <c r="L186" i="17"/>
  <c r="M186" i="17"/>
  <c r="N186" i="17"/>
  <c r="O186" i="17"/>
  <c r="P186" i="17"/>
  <c r="Q186" i="17"/>
  <c r="R186" i="17"/>
  <c r="D186" i="17"/>
  <c r="D185" i="17"/>
  <c r="D184" i="17"/>
  <c r="D183" i="17"/>
  <c r="D182" i="17"/>
  <c r="D181" i="17"/>
  <c r="D180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E142" i="17"/>
  <c r="I142" i="17"/>
  <c r="J142" i="17"/>
  <c r="K142" i="17"/>
  <c r="L142" i="17"/>
  <c r="M142" i="17"/>
  <c r="N142" i="17"/>
  <c r="O142" i="17"/>
  <c r="P142" i="17"/>
  <c r="Q142" i="17"/>
  <c r="R142" i="17"/>
  <c r="E143" i="17"/>
  <c r="I143" i="17"/>
  <c r="J143" i="17"/>
  <c r="K143" i="17"/>
  <c r="L143" i="17"/>
  <c r="M143" i="17"/>
  <c r="N143" i="17"/>
  <c r="O143" i="17"/>
  <c r="P143" i="17"/>
  <c r="Q143" i="17"/>
  <c r="R143" i="17"/>
  <c r="E144" i="17"/>
  <c r="I144" i="17"/>
  <c r="J144" i="17"/>
  <c r="K144" i="17"/>
  <c r="L144" i="17"/>
  <c r="M144" i="17"/>
  <c r="N144" i="17"/>
  <c r="O144" i="17"/>
  <c r="P144" i="17"/>
  <c r="Q144" i="17"/>
  <c r="R144" i="17"/>
  <c r="E145" i="17"/>
  <c r="I145" i="17"/>
  <c r="J145" i="17"/>
  <c r="K145" i="17"/>
  <c r="L145" i="17"/>
  <c r="M145" i="17"/>
  <c r="N145" i="17"/>
  <c r="O145" i="17"/>
  <c r="P145" i="17"/>
  <c r="Q145" i="17"/>
  <c r="R145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E147" i="17"/>
  <c r="I147" i="17"/>
  <c r="J147" i="17"/>
  <c r="K147" i="17"/>
  <c r="L147" i="17"/>
  <c r="M147" i="17"/>
  <c r="N147" i="17"/>
  <c r="O147" i="17"/>
  <c r="P147" i="17"/>
  <c r="Q147" i="17"/>
  <c r="R147" i="17"/>
  <c r="D147" i="17"/>
  <c r="D146" i="17"/>
  <c r="D145" i="17"/>
  <c r="D144" i="17"/>
  <c r="D143" i="17"/>
  <c r="D142" i="17"/>
  <c r="D141" i="17"/>
  <c r="E181" i="9"/>
  <c r="I181" i="9"/>
  <c r="J181" i="9"/>
  <c r="K181" i="9"/>
  <c r="L181" i="9"/>
  <c r="M181" i="9"/>
  <c r="N181" i="9"/>
  <c r="O181" i="9"/>
  <c r="P181" i="9"/>
  <c r="Q181" i="9"/>
  <c r="R181" i="9"/>
  <c r="E182" i="9"/>
  <c r="I182" i="9"/>
  <c r="J182" i="9"/>
  <c r="K182" i="9"/>
  <c r="L182" i="9"/>
  <c r="M182" i="9"/>
  <c r="N182" i="9"/>
  <c r="O182" i="9"/>
  <c r="P182" i="9"/>
  <c r="Q182" i="9"/>
  <c r="R182" i="9"/>
  <c r="E183" i="9"/>
  <c r="I183" i="9"/>
  <c r="J183" i="9"/>
  <c r="K183" i="9"/>
  <c r="L183" i="9"/>
  <c r="M183" i="9"/>
  <c r="N183" i="9"/>
  <c r="O183" i="9"/>
  <c r="P183" i="9"/>
  <c r="Q183" i="9"/>
  <c r="R183" i="9"/>
  <c r="E184" i="9"/>
  <c r="I184" i="9"/>
  <c r="J184" i="9"/>
  <c r="K184" i="9"/>
  <c r="L184" i="9"/>
  <c r="M184" i="9"/>
  <c r="N184" i="9"/>
  <c r="O184" i="9"/>
  <c r="P184" i="9"/>
  <c r="Q184" i="9"/>
  <c r="R184" i="9"/>
  <c r="E185" i="9"/>
  <c r="F185" i="9"/>
  <c r="G185" i="9"/>
  <c r="H185" i="9"/>
  <c r="I185" i="9"/>
  <c r="J185" i="9"/>
  <c r="K185" i="9"/>
  <c r="L185" i="9"/>
  <c r="M185" i="9"/>
  <c r="N185" i="9"/>
  <c r="O185" i="9"/>
  <c r="P185" i="9"/>
  <c r="Q185" i="9"/>
  <c r="R185" i="9"/>
  <c r="E186" i="9"/>
  <c r="I186" i="9"/>
  <c r="J186" i="9"/>
  <c r="K186" i="9"/>
  <c r="L186" i="9"/>
  <c r="M186" i="9"/>
  <c r="N186" i="9"/>
  <c r="O186" i="9"/>
  <c r="P186" i="9"/>
  <c r="Q186" i="9"/>
  <c r="R186" i="9"/>
  <c r="D186" i="9"/>
  <c r="D185" i="9"/>
  <c r="D184" i="9"/>
  <c r="D183" i="9"/>
  <c r="D182" i="9"/>
  <c r="D181" i="9"/>
  <c r="F141" i="9"/>
  <c r="G141" i="9"/>
  <c r="H141" i="9"/>
  <c r="I141" i="9"/>
  <c r="J141" i="9"/>
  <c r="K141" i="9"/>
  <c r="L141" i="9"/>
  <c r="M141" i="9"/>
  <c r="N141" i="9"/>
  <c r="O141" i="9"/>
  <c r="P141" i="9"/>
  <c r="Q141" i="9"/>
  <c r="R141" i="9"/>
  <c r="E142" i="9"/>
  <c r="C25" i="4" s="1"/>
  <c r="I142" i="9"/>
  <c r="J142" i="9"/>
  <c r="K142" i="9"/>
  <c r="L142" i="9"/>
  <c r="M142" i="9"/>
  <c r="N142" i="9"/>
  <c r="O142" i="9"/>
  <c r="P142" i="9"/>
  <c r="Q142" i="9"/>
  <c r="R142" i="9"/>
  <c r="E143" i="9"/>
  <c r="I143" i="9"/>
  <c r="J143" i="9"/>
  <c r="K143" i="9"/>
  <c r="L143" i="9"/>
  <c r="M143" i="9"/>
  <c r="N143" i="9"/>
  <c r="O143" i="9"/>
  <c r="P143" i="9"/>
  <c r="Q143" i="9"/>
  <c r="R143" i="9"/>
  <c r="E144" i="9"/>
  <c r="I144" i="9"/>
  <c r="J144" i="9"/>
  <c r="K144" i="9"/>
  <c r="L144" i="9"/>
  <c r="M144" i="9"/>
  <c r="N144" i="9"/>
  <c r="O144" i="9"/>
  <c r="P144" i="9"/>
  <c r="Q144" i="9"/>
  <c r="R144" i="9"/>
  <c r="E145" i="9"/>
  <c r="C39" i="4" s="1"/>
  <c r="I145" i="9"/>
  <c r="J145" i="9"/>
  <c r="K145" i="9"/>
  <c r="L145" i="9"/>
  <c r="M145" i="9"/>
  <c r="N145" i="9"/>
  <c r="O145" i="9"/>
  <c r="P145" i="9"/>
  <c r="Q145" i="9"/>
  <c r="R145" i="9"/>
  <c r="E146" i="9"/>
  <c r="F146" i="9"/>
  <c r="G146" i="9"/>
  <c r="H146" i="9"/>
  <c r="I146" i="9"/>
  <c r="J146" i="9"/>
  <c r="K146" i="9"/>
  <c r="L146" i="9"/>
  <c r="M146" i="9"/>
  <c r="N146" i="9"/>
  <c r="O146" i="9"/>
  <c r="P146" i="9"/>
  <c r="Q146" i="9"/>
  <c r="R146" i="9"/>
  <c r="E147" i="9"/>
  <c r="I147" i="9"/>
  <c r="J147" i="9"/>
  <c r="K147" i="9"/>
  <c r="L147" i="9"/>
  <c r="M147" i="9"/>
  <c r="N147" i="9"/>
  <c r="O147" i="9"/>
  <c r="P147" i="9"/>
  <c r="Q147" i="9"/>
  <c r="R147" i="9"/>
  <c r="D147" i="9"/>
  <c r="D146" i="9"/>
  <c r="D145" i="9"/>
  <c r="D144" i="9"/>
  <c r="D143" i="9"/>
  <c r="D142" i="9"/>
  <c r="D141" i="9"/>
  <c r="H6" i="1"/>
  <c r="H5" i="1"/>
  <c r="H4" i="1"/>
  <c r="L134" i="9"/>
  <c r="O3" i="19"/>
  <c r="O2" i="19" s="1"/>
  <c r="O13" i="19" s="1"/>
  <c r="O14" i="19"/>
  <c r="AM51" i="6"/>
  <c r="AM52" i="6"/>
  <c r="AM53" i="6"/>
  <c r="AK51" i="6"/>
  <c r="AL51" i="6"/>
  <c r="AK52" i="6"/>
  <c r="AL52" i="6"/>
  <c r="AK53" i="6"/>
  <c r="AL53" i="6"/>
  <c r="AJ53" i="6"/>
  <c r="AJ52" i="6"/>
  <c r="AJ51" i="6"/>
  <c r="L57" i="5"/>
  <c r="M57" i="5"/>
  <c r="N57" i="5"/>
  <c r="O57" i="5"/>
  <c r="K57" i="5"/>
  <c r="O7" i="5"/>
  <c r="O21" i="5" s="1"/>
  <c r="O35" i="5" s="1"/>
  <c r="N7" i="5"/>
  <c r="N39" i="5" s="1"/>
  <c r="K51" i="5"/>
  <c r="O46" i="5"/>
  <c r="O51" i="5" s="1"/>
  <c r="O39" i="5"/>
  <c r="U40" i="1"/>
  <c r="T40" i="1"/>
  <c r="S40" i="1"/>
  <c r="E108" i="9"/>
  <c r="F108" i="9"/>
  <c r="G108" i="9"/>
  <c r="H108" i="9"/>
  <c r="I108" i="9"/>
  <c r="J108" i="9"/>
  <c r="K108" i="9"/>
  <c r="L108" i="9"/>
  <c r="M108" i="9"/>
  <c r="N108" i="9"/>
  <c r="O108" i="9"/>
  <c r="P108" i="9"/>
  <c r="Q108" i="9"/>
  <c r="R108" i="9"/>
  <c r="D108" i="9"/>
  <c r="W84" i="1"/>
  <c r="I108" i="18" s="1"/>
  <c r="X84" i="1"/>
  <c r="O107" i="1"/>
  <c r="H115" i="1"/>
  <c r="N103" i="1" s="1"/>
  <c r="N105" i="1" s="1"/>
  <c r="N107" i="1" s="1"/>
  <c r="G115" i="1"/>
  <c r="S36" i="1" s="1"/>
  <c r="H110" i="1"/>
  <c r="I110" i="1"/>
  <c r="I116" i="1" s="1"/>
  <c r="G110" i="1"/>
  <c r="H103" i="1"/>
  <c r="H116" i="1" s="1"/>
  <c r="T37" i="1" s="1"/>
  <c r="G103" i="1"/>
  <c r="G116" i="1" s="1"/>
  <c r="S37" i="1" s="1"/>
  <c r="I105" i="1"/>
  <c r="I115" i="1" s="1"/>
  <c r="O103" i="1" s="1"/>
  <c r="L46" i="5"/>
  <c r="L51" i="5" s="1"/>
  <c r="M46" i="5"/>
  <c r="M51" i="5" s="1"/>
  <c r="N46" i="5"/>
  <c r="N51" i="5" s="1"/>
  <c r="L39" i="5"/>
  <c r="M39" i="5"/>
  <c r="K39" i="5"/>
  <c r="L21" i="5"/>
  <c r="L35" i="5" s="1"/>
  <c r="M21" i="5"/>
  <c r="M35" i="5" s="1"/>
  <c r="K46" i="5"/>
  <c r="K21" i="5"/>
  <c r="K35" i="5" s="1"/>
  <c r="L11" i="5"/>
  <c r="M11" i="5"/>
  <c r="K11" i="5"/>
  <c r="H47" i="4"/>
  <c r="D46" i="4"/>
  <c r="B15" i="5"/>
  <c r="Z7" i="6"/>
  <c r="G7" i="3"/>
  <c r="H7" i="3"/>
  <c r="F7" i="3"/>
  <c r="I7" i="3" s="1"/>
  <c r="G10" i="3"/>
  <c r="H10" i="3"/>
  <c r="F10" i="3"/>
  <c r="Q11" i="7"/>
  <c r="R11" i="7" s="1"/>
  <c r="S11" i="7" s="1"/>
  <c r="T11" i="7" s="1"/>
  <c r="U11" i="7" s="1"/>
  <c r="E24" i="6"/>
  <c r="D31" i="5"/>
  <c r="D52" i="4"/>
  <c r="E52" i="4" s="1"/>
  <c r="F52" i="4" s="1"/>
  <c r="G52" i="4" s="1"/>
  <c r="H52" i="4" s="1"/>
  <c r="I52" i="4" s="1"/>
  <c r="J52" i="4" s="1"/>
  <c r="K52" i="4" s="1"/>
  <c r="L52" i="4" s="1"/>
  <c r="N52" i="4" s="1"/>
  <c r="E3" i="4"/>
  <c r="F3" i="4" s="1"/>
  <c r="G3" i="4" s="1"/>
  <c r="H3" i="4" s="1"/>
  <c r="I3" i="4" s="1"/>
  <c r="J3" i="4" s="1"/>
  <c r="K3" i="4" s="1"/>
  <c r="L3" i="4" s="1"/>
  <c r="N3" i="4" s="1"/>
  <c r="N23" i="4" s="1"/>
  <c r="J62" i="4" l="1"/>
  <c r="N60" i="4"/>
  <c r="I62" i="4"/>
  <c r="G62" i="4"/>
  <c r="H62" i="4"/>
  <c r="L60" i="4"/>
  <c r="F62" i="4"/>
  <c r="K60" i="4"/>
  <c r="E62" i="4"/>
  <c r="J60" i="4"/>
  <c r="L61" i="4"/>
  <c r="I60" i="4"/>
  <c r="K61" i="4"/>
  <c r="N59" i="4"/>
  <c r="H60" i="4"/>
  <c r="J61" i="4"/>
  <c r="L59" i="4"/>
  <c r="G60" i="4"/>
  <c r="I61" i="4"/>
  <c r="K59" i="4"/>
  <c r="F60" i="4"/>
  <c r="H61" i="4"/>
  <c r="J59" i="4"/>
  <c r="E60" i="4"/>
  <c r="G61" i="4"/>
  <c r="I59" i="4"/>
  <c r="F61" i="4"/>
  <c r="H59" i="4"/>
  <c r="E61" i="4"/>
  <c r="G59" i="4"/>
  <c r="L62" i="4"/>
  <c r="N61" i="4"/>
  <c r="F59" i="4"/>
  <c r="K62" i="4"/>
  <c r="N62" i="4"/>
  <c r="N39" i="4"/>
  <c r="L39" i="4"/>
  <c r="K39" i="4"/>
  <c r="N26" i="4"/>
  <c r="N24" i="4"/>
  <c r="L24" i="4"/>
  <c r="K24" i="4"/>
  <c r="J24" i="4"/>
  <c r="H24" i="4"/>
  <c r="I24" i="4"/>
  <c r="L10" i="4"/>
  <c r="G24" i="4"/>
  <c r="K10" i="4"/>
  <c r="F24" i="4"/>
  <c r="C27" i="4"/>
  <c r="E24" i="4"/>
  <c r="L26" i="4"/>
  <c r="K26" i="4"/>
  <c r="J26" i="4"/>
  <c r="I26" i="4"/>
  <c r="H26" i="4"/>
  <c r="G26" i="4"/>
  <c r="F26" i="4"/>
  <c r="E26" i="4"/>
  <c r="N10" i="4"/>
  <c r="L23" i="4"/>
  <c r="N25" i="4"/>
  <c r="K23" i="4"/>
  <c r="L25" i="4"/>
  <c r="K25" i="4"/>
  <c r="M108" i="17"/>
  <c r="Q108" i="18"/>
  <c r="L108" i="17"/>
  <c r="J108" i="17"/>
  <c r="I108" i="17"/>
  <c r="H108" i="17"/>
  <c r="G108" i="17"/>
  <c r="F108" i="17"/>
  <c r="E108" i="17"/>
  <c r="J108" i="18"/>
  <c r="M103" i="1"/>
  <c r="M105" i="1" s="1"/>
  <c r="M107" i="1" s="1"/>
  <c r="M108" i="18"/>
  <c r="O108" i="18"/>
  <c r="R108" i="18"/>
  <c r="K108" i="17"/>
  <c r="K108" i="18"/>
  <c r="L108" i="18"/>
  <c r="N108" i="18"/>
  <c r="P108" i="18"/>
  <c r="F108" i="18"/>
  <c r="T36" i="1"/>
  <c r="Q108" i="17"/>
  <c r="D108" i="17"/>
  <c r="D108" i="18"/>
  <c r="R108" i="17"/>
  <c r="E108" i="18"/>
  <c r="P108" i="17"/>
  <c r="G108" i="18"/>
  <c r="O108" i="17"/>
  <c r="H108" i="18"/>
  <c r="N108" i="17"/>
  <c r="V40" i="1"/>
  <c r="N11" i="5"/>
  <c r="N21" i="5"/>
  <c r="N35" i="5" s="1"/>
  <c r="O11" i="5"/>
  <c r="D3" i="19"/>
  <c r="D2" i="19" s="1"/>
  <c r="D13" i="19" s="1"/>
  <c r="D3" i="18"/>
  <c r="D26" i="18" s="1"/>
  <c r="D49" i="18" s="1"/>
  <c r="D123" i="18"/>
  <c r="D124" i="18" s="1"/>
  <c r="B198" i="18"/>
  <c r="C197" i="18"/>
  <c r="B197" i="18"/>
  <c r="B196" i="18"/>
  <c r="B195" i="18"/>
  <c r="B194" i="18"/>
  <c r="B193" i="18"/>
  <c r="B192" i="18"/>
  <c r="B191" i="18"/>
  <c r="B190" i="18"/>
  <c r="B159" i="18"/>
  <c r="B158" i="18"/>
  <c r="B157" i="18"/>
  <c r="B156" i="18"/>
  <c r="B155" i="18"/>
  <c r="B154" i="18"/>
  <c r="B153" i="18"/>
  <c r="B152" i="18"/>
  <c r="B151" i="18"/>
  <c r="F1" i="18"/>
  <c r="G1" i="18" s="1"/>
  <c r="D123" i="17"/>
  <c r="D124" i="17" s="1"/>
  <c r="D3" i="17"/>
  <c r="E3" i="17" s="1"/>
  <c r="B198" i="17"/>
  <c r="C197" i="17"/>
  <c r="B197" i="17"/>
  <c r="B196" i="17"/>
  <c r="B195" i="17"/>
  <c r="B194" i="17"/>
  <c r="B193" i="17"/>
  <c r="B192" i="17"/>
  <c r="B191" i="17"/>
  <c r="B190" i="17"/>
  <c r="B159" i="17"/>
  <c r="B158" i="17"/>
  <c r="B157" i="17"/>
  <c r="B156" i="17"/>
  <c r="B155" i="17"/>
  <c r="B154" i="17"/>
  <c r="B153" i="17"/>
  <c r="B152" i="17"/>
  <c r="B151" i="17"/>
  <c r="F1" i="17"/>
  <c r="G1" i="17" s="1"/>
  <c r="B198" i="9"/>
  <c r="B197" i="9"/>
  <c r="B196" i="9"/>
  <c r="B195" i="9"/>
  <c r="B194" i="9"/>
  <c r="B193" i="9"/>
  <c r="B192" i="9"/>
  <c r="B191" i="9"/>
  <c r="B190" i="9"/>
  <c r="B155" i="9"/>
  <c r="H8" i="3"/>
  <c r="W114" i="1"/>
  <c r="G8" i="3" s="1"/>
  <c r="V114" i="1"/>
  <c r="F8" i="3" s="1"/>
  <c r="I8" i="3" l="1"/>
  <c r="D14" i="19"/>
  <c r="E3" i="19"/>
  <c r="E3" i="18"/>
  <c r="F3" i="18" s="1"/>
  <c r="D2" i="18"/>
  <c r="D173" i="18" s="1"/>
  <c r="D2" i="17"/>
  <c r="D25" i="17" s="1"/>
  <c r="D48" i="17" s="1"/>
  <c r="D69" i="17" s="1"/>
  <c r="E26" i="17"/>
  <c r="E49" i="17" s="1"/>
  <c r="E70" i="17" s="1"/>
  <c r="E2" i="17"/>
  <c r="E25" i="17" s="1"/>
  <c r="E48" i="17" s="1"/>
  <c r="E69" i="17" s="1"/>
  <c r="D26" i="17"/>
  <c r="D49" i="17" s="1"/>
  <c r="D70" i="17" s="1"/>
  <c r="H1" i="18"/>
  <c r="D70" i="18"/>
  <c r="D174" i="18"/>
  <c r="H1" i="17"/>
  <c r="E174" i="17"/>
  <c r="F3" i="17"/>
  <c r="D174" i="17"/>
  <c r="D91" i="18" l="1"/>
  <c r="E26" i="18"/>
  <c r="E49" i="18" s="1"/>
  <c r="E70" i="18" s="1"/>
  <c r="D90" i="17"/>
  <c r="D91" i="17"/>
  <c r="E91" i="17"/>
  <c r="E90" i="17"/>
  <c r="E2" i="18"/>
  <c r="E173" i="18" s="1"/>
  <c r="E173" i="17"/>
  <c r="D173" i="17"/>
  <c r="D25" i="18"/>
  <c r="D48" i="18" s="1"/>
  <c r="D69" i="18" s="1"/>
  <c r="D90" i="18" s="1"/>
  <c r="E174" i="18"/>
  <c r="G3" i="18"/>
  <c r="G2" i="18" s="1"/>
  <c r="F174" i="18"/>
  <c r="F26" i="18"/>
  <c r="F49" i="18" s="1"/>
  <c r="F70" i="18" s="1"/>
  <c r="F2" i="18"/>
  <c r="F173" i="18" s="1"/>
  <c r="E14" i="19"/>
  <c r="E2" i="19"/>
  <c r="E13" i="19" s="1"/>
  <c r="F3" i="19"/>
  <c r="I1" i="18"/>
  <c r="I1" i="17"/>
  <c r="F174" i="17"/>
  <c r="G3" i="17"/>
  <c r="F26" i="17"/>
  <c r="F49" i="17" s="1"/>
  <c r="F2" i="17"/>
  <c r="E91" i="18" l="1"/>
  <c r="F91" i="18"/>
  <c r="H3" i="18"/>
  <c r="H26" i="18" s="1"/>
  <c r="H49" i="18" s="1"/>
  <c r="E25" i="18"/>
  <c r="E48" i="18" s="1"/>
  <c r="E69" i="18" s="1"/>
  <c r="E90" i="18" s="1"/>
  <c r="G174" i="18"/>
  <c r="G26" i="18"/>
  <c r="G49" i="18" s="1"/>
  <c r="G70" i="18" s="1"/>
  <c r="F25" i="18"/>
  <c r="F48" i="18" s="1"/>
  <c r="F69" i="18" s="1"/>
  <c r="F90" i="18" s="1"/>
  <c r="F14" i="19"/>
  <c r="F2" i="19"/>
  <c r="F13" i="19" s="1"/>
  <c r="G3" i="19"/>
  <c r="G173" i="18"/>
  <c r="G25" i="18"/>
  <c r="G48" i="18" s="1"/>
  <c r="G69" i="18" s="1"/>
  <c r="G90" i="18" s="1"/>
  <c r="J1" i="18"/>
  <c r="H3" i="17"/>
  <c r="G174" i="17"/>
  <c r="G26" i="17"/>
  <c r="G49" i="17" s="1"/>
  <c r="G2" i="17"/>
  <c r="F173" i="17"/>
  <c r="F25" i="17"/>
  <c r="F48" i="17" s="1"/>
  <c r="F69" i="17" s="1"/>
  <c r="F70" i="17"/>
  <c r="J1" i="17"/>
  <c r="G91" i="18" l="1"/>
  <c r="I3" i="18"/>
  <c r="I174" i="18" s="1"/>
  <c r="H2" i="18"/>
  <c r="H174" i="18"/>
  <c r="F91" i="17"/>
  <c r="F90" i="17"/>
  <c r="H3" i="19"/>
  <c r="G14" i="19"/>
  <c r="G2" i="19"/>
  <c r="G13" i="19" s="1"/>
  <c r="K1" i="18"/>
  <c r="J3" i="18"/>
  <c r="H25" i="18"/>
  <c r="H48" i="18" s="1"/>
  <c r="H69" i="18" s="1"/>
  <c r="H90" i="18" s="1"/>
  <c r="H173" i="18"/>
  <c r="H70" i="18"/>
  <c r="G70" i="17"/>
  <c r="H2" i="17"/>
  <c r="I3" i="17"/>
  <c r="H174" i="17"/>
  <c r="H26" i="17"/>
  <c r="H49" i="17" s="1"/>
  <c r="G173" i="17"/>
  <c r="G25" i="17"/>
  <c r="G48" i="17" s="1"/>
  <c r="G69" i="17" s="1"/>
  <c r="K1" i="17"/>
  <c r="H91" i="18" l="1"/>
  <c r="I2" i="18"/>
  <c r="I26" i="18"/>
  <c r="I49" i="18" s="1"/>
  <c r="I70" i="18" s="1"/>
  <c r="G90" i="17"/>
  <c r="G91" i="17"/>
  <c r="I3" i="19"/>
  <c r="H14" i="19"/>
  <c r="H2" i="19"/>
  <c r="H13" i="19" s="1"/>
  <c r="L1" i="18"/>
  <c r="J174" i="18"/>
  <c r="J26" i="18"/>
  <c r="J49" i="18" s="1"/>
  <c r="J2" i="18"/>
  <c r="K3" i="18"/>
  <c r="I25" i="18"/>
  <c r="I48" i="18" s="1"/>
  <c r="I69" i="18" s="1"/>
  <c r="I90" i="18" s="1"/>
  <c r="I173" i="18"/>
  <c r="H70" i="17"/>
  <c r="I2" i="17"/>
  <c r="J3" i="17"/>
  <c r="I174" i="17"/>
  <c r="I26" i="17"/>
  <c r="I49" i="17" s="1"/>
  <c r="H25" i="17"/>
  <c r="H48" i="17" s="1"/>
  <c r="H69" i="17" s="1"/>
  <c r="H173" i="17"/>
  <c r="L1" i="17"/>
  <c r="I91" i="18" l="1"/>
  <c r="H90" i="17"/>
  <c r="H91" i="17"/>
  <c r="J3" i="19"/>
  <c r="I14" i="19"/>
  <c r="I2" i="19"/>
  <c r="I13" i="19" s="1"/>
  <c r="J25" i="18"/>
  <c r="J48" i="18" s="1"/>
  <c r="J69" i="18" s="1"/>
  <c r="J90" i="18" s="1"/>
  <c r="J173" i="18"/>
  <c r="J70" i="18"/>
  <c r="M1" i="18"/>
  <c r="K174" i="18"/>
  <c r="K26" i="18"/>
  <c r="K49" i="18" s="1"/>
  <c r="L3" i="18"/>
  <c r="K2" i="18"/>
  <c r="J2" i="17"/>
  <c r="J174" i="17"/>
  <c r="K3" i="17"/>
  <c r="J26" i="17"/>
  <c r="J49" i="17" s="1"/>
  <c r="I173" i="17"/>
  <c r="I25" i="17"/>
  <c r="I48" i="17" s="1"/>
  <c r="I69" i="17" s="1"/>
  <c r="I70" i="17"/>
  <c r="M1" i="17"/>
  <c r="J91" i="18" l="1"/>
  <c r="I91" i="17"/>
  <c r="I90" i="17"/>
  <c r="D6" i="19"/>
  <c r="E6" i="19"/>
  <c r="K3" i="19"/>
  <c r="J14" i="19"/>
  <c r="J2" i="19"/>
  <c r="J13" i="19" s="1"/>
  <c r="K70" i="18"/>
  <c r="N1" i="18"/>
  <c r="O1" i="18" s="1"/>
  <c r="P1" i="18" s="1"/>
  <c r="Q1" i="18" s="1"/>
  <c r="R1" i="18" s="1"/>
  <c r="K25" i="18"/>
  <c r="K48" i="18" s="1"/>
  <c r="K69" i="18" s="1"/>
  <c r="K90" i="18" s="1"/>
  <c r="K173" i="18"/>
  <c r="L174" i="18"/>
  <c r="L26" i="18"/>
  <c r="L49" i="18" s="1"/>
  <c r="L2" i="18"/>
  <c r="M3" i="18"/>
  <c r="K174" i="17"/>
  <c r="K2" i="17"/>
  <c r="L3" i="17"/>
  <c r="K26" i="17"/>
  <c r="K49" i="17" s="1"/>
  <c r="J25" i="17"/>
  <c r="J48" i="17" s="1"/>
  <c r="J69" i="17" s="1"/>
  <c r="J90" i="17" s="1"/>
  <c r="J173" i="17"/>
  <c r="N1" i="17"/>
  <c r="O1" i="17" s="1"/>
  <c r="P1" i="17" s="1"/>
  <c r="Q1" i="17" s="1"/>
  <c r="R1" i="17" s="1"/>
  <c r="J70" i="17"/>
  <c r="K91" i="18" l="1"/>
  <c r="J91" i="17"/>
  <c r="L3" i="19"/>
  <c r="K2" i="19"/>
  <c r="K13" i="19" s="1"/>
  <c r="K14" i="19"/>
  <c r="L25" i="18"/>
  <c r="L48" i="18" s="1"/>
  <c r="L69" i="18" s="1"/>
  <c r="L90" i="18" s="1"/>
  <c r="L173" i="18"/>
  <c r="M174" i="18"/>
  <c r="N3" i="18"/>
  <c r="O3" i="18" s="1"/>
  <c r="M26" i="18"/>
  <c r="M49" i="18" s="1"/>
  <c r="M2" i="18"/>
  <c r="L70" i="18"/>
  <c r="K25" i="17"/>
  <c r="K48" i="17" s="1"/>
  <c r="K69" i="17" s="1"/>
  <c r="K173" i="17"/>
  <c r="L174" i="17"/>
  <c r="L26" i="17"/>
  <c r="L49" i="17" s="1"/>
  <c r="L2" i="17"/>
  <c r="M3" i="17"/>
  <c r="K70" i="17"/>
  <c r="L91" i="18" l="1"/>
  <c r="K91" i="17"/>
  <c r="K90" i="17"/>
  <c r="O26" i="18"/>
  <c r="O49" i="18" s="1"/>
  <c r="O174" i="18"/>
  <c r="P3" i="18"/>
  <c r="O2" i="18"/>
  <c r="M3" i="19"/>
  <c r="L14" i="19"/>
  <c r="L2" i="19"/>
  <c r="L13" i="19" s="1"/>
  <c r="M25" i="18"/>
  <c r="M48" i="18" s="1"/>
  <c r="M69" i="18" s="1"/>
  <c r="M90" i="18" s="1"/>
  <c r="M173" i="18"/>
  <c r="M70" i="18"/>
  <c r="N174" i="18"/>
  <c r="F18" i="19" s="1"/>
  <c r="N26" i="18"/>
  <c r="N49" i="18" s="1"/>
  <c r="N2" i="18"/>
  <c r="L25" i="17"/>
  <c r="L48" i="17" s="1"/>
  <c r="L69" i="17" s="1"/>
  <c r="L173" i="17"/>
  <c r="L70" i="17"/>
  <c r="M2" i="17"/>
  <c r="M174" i="17"/>
  <c r="M26" i="17"/>
  <c r="M49" i="17" s="1"/>
  <c r="N3" i="17"/>
  <c r="O3" i="17" s="1"/>
  <c r="M91" i="18" l="1"/>
  <c r="L90" i="17"/>
  <c r="L91" i="17"/>
  <c r="O2" i="17"/>
  <c r="P3" i="17"/>
  <c r="O174" i="17"/>
  <c r="O26" i="17"/>
  <c r="O49" i="17" s="1"/>
  <c r="P26" i="18"/>
  <c r="P49" i="18" s="1"/>
  <c r="P174" i="18"/>
  <c r="Q3" i="18"/>
  <c r="P2" i="18"/>
  <c r="O70" i="18"/>
  <c r="O25" i="18"/>
  <c r="O48" i="18" s="1"/>
  <c r="O69" i="18" s="1"/>
  <c r="O90" i="18" s="1"/>
  <c r="O173" i="18"/>
  <c r="D18" i="19"/>
  <c r="E18" i="19"/>
  <c r="G18" i="19"/>
  <c r="N3" i="19"/>
  <c r="M2" i="19"/>
  <c r="M13" i="19" s="1"/>
  <c r="M14" i="19"/>
  <c r="N25" i="18"/>
  <c r="N48" i="18" s="1"/>
  <c r="N69" i="18" s="1"/>
  <c r="N90" i="18" s="1"/>
  <c r="N173" i="18"/>
  <c r="N70" i="18"/>
  <c r="M25" i="17"/>
  <c r="M48" i="17" s="1"/>
  <c r="M69" i="17" s="1"/>
  <c r="M173" i="17"/>
  <c r="N2" i="17"/>
  <c r="N26" i="17"/>
  <c r="N49" i="17" s="1"/>
  <c r="N174" i="17"/>
  <c r="M70" i="17"/>
  <c r="N91" i="18" l="1"/>
  <c r="O91" i="18"/>
  <c r="M91" i="17"/>
  <c r="M90" i="17"/>
  <c r="P26" i="17"/>
  <c r="P49" i="17" s="1"/>
  <c r="Q3" i="17"/>
  <c r="P174" i="17"/>
  <c r="P2" i="17"/>
  <c r="O70" i="17"/>
  <c r="O25" i="17"/>
  <c r="O48" i="17" s="1"/>
  <c r="O69" i="17" s="1"/>
  <c r="O173" i="17"/>
  <c r="P25" i="18"/>
  <c r="P48" i="18" s="1"/>
  <c r="P69" i="18" s="1"/>
  <c r="P90" i="18" s="1"/>
  <c r="P173" i="18"/>
  <c r="Q26" i="18"/>
  <c r="Q49" i="18" s="1"/>
  <c r="R3" i="18"/>
  <c r="Q174" i="18"/>
  <c r="Q2" i="18"/>
  <c r="P70" i="18"/>
  <c r="D7" i="19"/>
  <c r="G7" i="19"/>
  <c r="E7" i="19"/>
  <c r="F7" i="19"/>
  <c r="D17" i="19"/>
  <c r="E17" i="19"/>
  <c r="N2" i="19"/>
  <c r="N13" i="19" s="1"/>
  <c r="N14" i="19"/>
  <c r="N25" i="17"/>
  <c r="N48" i="17" s="1"/>
  <c r="N69" i="17" s="1"/>
  <c r="N173" i="17"/>
  <c r="N70" i="17"/>
  <c r="P91" i="18" l="1"/>
  <c r="N91" i="17"/>
  <c r="O90" i="17"/>
  <c r="N90" i="17"/>
  <c r="O91" i="17"/>
  <c r="P25" i="17"/>
  <c r="P48" i="17" s="1"/>
  <c r="P69" i="17" s="1"/>
  <c r="P173" i="17"/>
  <c r="Q2" i="17"/>
  <c r="R3" i="17"/>
  <c r="Q174" i="17"/>
  <c r="Q26" i="17"/>
  <c r="Q49" i="17" s="1"/>
  <c r="P70" i="17"/>
  <c r="Q173" i="18"/>
  <c r="Q25" i="18"/>
  <c r="Q48" i="18" s="1"/>
  <c r="Q69" i="18" s="1"/>
  <c r="Q90" i="18" s="1"/>
  <c r="R2" i="18"/>
  <c r="R174" i="18"/>
  <c r="R26" i="18"/>
  <c r="R49" i="18" s="1"/>
  <c r="Q70" i="18"/>
  <c r="Q91" i="18" l="1"/>
  <c r="P91" i="17"/>
  <c r="P90" i="17"/>
  <c r="Q70" i="17"/>
  <c r="Q173" i="17"/>
  <c r="Q25" i="17"/>
  <c r="Q48" i="17" s="1"/>
  <c r="Q69" i="17" s="1"/>
  <c r="R26" i="17"/>
  <c r="R49" i="17" s="1"/>
  <c r="R174" i="17"/>
  <c r="R2" i="17"/>
  <c r="R173" i="18"/>
  <c r="R25" i="18"/>
  <c r="R48" i="18" s="1"/>
  <c r="R69" i="18" s="1"/>
  <c r="R90" i="18" s="1"/>
  <c r="R70" i="18"/>
  <c r="R91" i="18" l="1"/>
  <c r="Q91" i="17"/>
  <c r="Q90" i="17"/>
  <c r="R173" i="17"/>
  <c r="R25" i="17"/>
  <c r="R48" i="17" s="1"/>
  <c r="R69" i="17" s="1"/>
  <c r="R70" i="17"/>
  <c r="R91" i="17" l="1"/>
  <c r="R90" i="17"/>
  <c r="X111" i="1" l="1"/>
  <c r="W111" i="1"/>
  <c r="V111" i="1"/>
  <c r="X109" i="1"/>
  <c r="W109" i="1"/>
  <c r="V109" i="1"/>
  <c r="X108" i="1"/>
  <c r="W108" i="1"/>
  <c r="V108" i="1"/>
  <c r="Q8" i="8"/>
  <c r="Q9" i="8"/>
  <c r="Q10" i="8"/>
  <c r="P10" i="8" s="1"/>
  <c r="Q11" i="8"/>
  <c r="P11" i="8" s="1"/>
  <c r="Q12" i="8"/>
  <c r="P12" i="8" s="1"/>
  <c r="Q13" i="8"/>
  <c r="Q14" i="8"/>
  <c r="P14" i="8" s="1"/>
  <c r="Q15" i="8"/>
  <c r="P15" i="8" s="1"/>
  <c r="Q16" i="8"/>
  <c r="P16" i="8" s="1"/>
  <c r="Q17" i="8"/>
  <c r="P17" i="8" s="1"/>
  <c r="Q18" i="8"/>
  <c r="P18" i="8" s="1"/>
  <c r="Q19" i="8"/>
  <c r="P19" i="8" s="1"/>
  <c r="Q20" i="8"/>
  <c r="P20" i="8" s="1"/>
  <c r="Q21" i="8"/>
  <c r="P21" i="8" s="1"/>
  <c r="Q22" i="8"/>
  <c r="P22" i="8" s="1"/>
  <c r="Q23" i="8"/>
  <c r="P23" i="8" s="1"/>
  <c r="Q24" i="8"/>
  <c r="P24" i="8" s="1"/>
  <c r="Q25" i="8"/>
  <c r="P25" i="8" s="1"/>
  <c r="Q26" i="8"/>
  <c r="Q27" i="8"/>
  <c r="Q7" i="8"/>
  <c r="P7" i="8" s="1"/>
  <c r="T43" i="1"/>
  <c r="U43" i="1"/>
  <c r="S43" i="1"/>
  <c r="H49" i="5"/>
  <c r="F47" i="5"/>
  <c r="G47" i="5"/>
  <c r="F48" i="5"/>
  <c r="G48" i="5"/>
  <c r="E48" i="5"/>
  <c r="E47" i="5"/>
  <c r="G44" i="14"/>
  <c r="G45" i="14"/>
  <c r="G46" i="14"/>
  <c r="E4" i="14"/>
  <c r="E12" i="14"/>
  <c r="D30" i="5"/>
  <c r="P26" i="6"/>
  <c r="G31" i="6"/>
  <c r="H31" i="6"/>
  <c r="N26" i="6"/>
  <c r="P27" i="8"/>
  <c r="P26" i="8"/>
  <c r="F6" i="6"/>
  <c r="O26" i="8"/>
  <c r="O27" i="8"/>
  <c r="I26" i="8"/>
  <c r="D123" i="9"/>
  <c r="F1" i="9"/>
  <c r="G1" i="9" s="1"/>
  <c r="H1" i="9" s="1"/>
  <c r="I1" i="9" s="1"/>
  <c r="J1" i="9" s="1"/>
  <c r="K1" i="9" s="1"/>
  <c r="L1" i="9" s="1"/>
  <c r="M1" i="9" s="1"/>
  <c r="N1" i="9" s="1"/>
  <c r="O1" i="9" s="1"/>
  <c r="P1" i="9" s="1"/>
  <c r="Q1" i="9" s="1"/>
  <c r="R1" i="9" s="1"/>
  <c r="B159" i="9"/>
  <c r="B158" i="9"/>
  <c r="B157" i="9"/>
  <c r="B156" i="9"/>
  <c r="B154" i="9"/>
  <c r="B153" i="9"/>
  <c r="B152" i="9"/>
  <c r="B151" i="9"/>
  <c r="N38" i="1"/>
  <c r="O38" i="1"/>
  <c r="M38" i="1"/>
  <c r="N49" i="1"/>
  <c r="O49" i="1"/>
  <c r="M49" i="1"/>
  <c r="O93" i="1"/>
  <c r="O95" i="1" s="1"/>
  <c r="O97" i="1" s="1"/>
  <c r="N93" i="1"/>
  <c r="N95" i="1" s="1"/>
  <c r="N97" i="1" s="1"/>
  <c r="M93" i="1"/>
  <c r="M95" i="1" s="1"/>
  <c r="M97" i="1" s="1"/>
  <c r="N79" i="1"/>
  <c r="N81" i="1" s="1"/>
  <c r="O79" i="1"/>
  <c r="O81" i="1" s="1"/>
  <c r="M79" i="1"/>
  <c r="M81" i="1" s="1"/>
  <c r="N75" i="1"/>
  <c r="N77" i="1" s="1"/>
  <c r="O75" i="1"/>
  <c r="O77" i="1" s="1"/>
  <c r="M75" i="1"/>
  <c r="M77" i="1" s="1"/>
  <c r="N83" i="1"/>
  <c r="N85" i="1" s="1"/>
  <c r="O83" i="1"/>
  <c r="O85" i="1" s="1"/>
  <c r="M83" i="1"/>
  <c r="M85" i="1" s="1"/>
  <c r="V27" i="1"/>
  <c r="V32" i="1"/>
  <c r="H97" i="1"/>
  <c r="T31" i="1" s="1"/>
  <c r="I97" i="1"/>
  <c r="U31" i="1" s="1"/>
  <c r="U33" i="1" s="1"/>
  <c r="G97" i="1"/>
  <c r="S31" i="1" s="1"/>
  <c r="S33" i="1" s="1"/>
  <c r="I84" i="1"/>
  <c r="I85" i="1" s="1"/>
  <c r="H84" i="1"/>
  <c r="G95" i="1"/>
  <c r="G96" i="1" s="1"/>
  <c r="F79" i="1"/>
  <c r="F83" i="1"/>
  <c r="F75" i="1"/>
  <c r="H87" i="1"/>
  <c r="T26" i="1" s="1"/>
  <c r="T28" i="1" s="1"/>
  <c r="I87" i="1"/>
  <c r="U26" i="1" s="1"/>
  <c r="U28" i="1" s="1"/>
  <c r="G87" i="1"/>
  <c r="S26" i="1" s="1"/>
  <c r="S28" i="1" s="1"/>
  <c r="G85" i="1"/>
  <c r="G81" i="1"/>
  <c r="V81" i="1"/>
  <c r="W81" i="1"/>
  <c r="X81" i="1"/>
  <c r="V82" i="1"/>
  <c r="W82" i="1"/>
  <c r="X82" i="1"/>
  <c r="V83" i="1"/>
  <c r="W83" i="1"/>
  <c r="X83" i="1"/>
  <c r="X80" i="1"/>
  <c r="W80" i="1"/>
  <c r="V80" i="1"/>
  <c r="U37" i="1"/>
  <c r="V36" i="1"/>
  <c r="D3" i="9"/>
  <c r="E5" i="1"/>
  <c r="E6" i="1"/>
  <c r="U7" i="6" s="1"/>
  <c r="E4" i="1"/>
  <c r="D2" i="4" s="1"/>
  <c r="L52" i="8"/>
  <c r="M52" i="8"/>
  <c r="L53" i="8"/>
  <c r="M53" i="8"/>
  <c r="L54" i="8"/>
  <c r="M54" i="8"/>
  <c r="L55" i="8"/>
  <c r="M55" i="8"/>
  <c r="L56" i="8"/>
  <c r="M56" i="8"/>
  <c r="L57" i="8"/>
  <c r="M57" i="8"/>
  <c r="L51" i="8"/>
  <c r="M51" i="8"/>
  <c r="D4" i="7"/>
  <c r="N46" i="8"/>
  <c r="N45" i="8"/>
  <c r="N44" i="8"/>
  <c r="N47" i="8" s="1"/>
  <c r="M44" i="8"/>
  <c r="M45" i="8"/>
  <c r="M46" i="8"/>
  <c r="L46" i="8"/>
  <c r="L45" i="8"/>
  <c r="L44" i="8"/>
  <c r="M43" i="8"/>
  <c r="N43" i="8"/>
  <c r="L43" i="8"/>
  <c r="N39" i="8"/>
  <c r="M39" i="8"/>
  <c r="N38" i="8"/>
  <c r="M38" i="8"/>
  <c r="N37" i="8"/>
  <c r="M37" i="8"/>
  <c r="L37" i="8"/>
  <c r="L39" i="8"/>
  <c r="L38" i="8"/>
  <c r="M32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7" i="8"/>
  <c r="I10" i="3"/>
  <c r="AG28" i="6"/>
  <c r="B13" i="5"/>
  <c r="B14" i="5"/>
  <c r="B16" i="5"/>
  <c r="B17" i="5"/>
  <c r="B12" i="5"/>
  <c r="F8" i="6"/>
  <c r="Z5" i="6"/>
  <c r="Z6" i="6"/>
  <c r="Z8" i="6"/>
  <c r="Z9" i="6"/>
  <c r="Z4" i="6"/>
  <c r="H53" i="1"/>
  <c r="I53" i="1"/>
  <c r="H57" i="1"/>
  <c r="I57" i="1"/>
  <c r="H61" i="1"/>
  <c r="I61" i="1"/>
  <c r="G61" i="1"/>
  <c r="G57" i="1"/>
  <c r="G53" i="1"/>
  <c r="G49" i="1"/>
  <c r="I49" i="1"/>
  <c r="H49" i="1"/>
  <c r="G27" i="1"/>
  <c r="H27" i="1"/>
  <c r="I27" i="1"/>
  <c r="J27" i="1"/>
  <c r="K27" i="1"/>
  <c r="L27" i="1"/>
  <c r="M27" i="1"/>
  <c r="N27" i="1"/>
  <c r="O27" i="1"/>
  <c r="G11" i="1"/>
  <c r="I23" i="1"/>
  <c r="H23" i="1"/>
  <c r="J23" i="1"/>
  <c r="K23" i="1"/>
  <c r="L23" i="1"/>
  <c r="M23" i="1"/>
  <c r="N23" i="1"/>
  <c r="O23" i="1"/>
  <c r="G23" i="1"/>
  <c r="G19" i="1"/>
  <c r="H19" i="1"/>
  <c r="I19" i="1"/>
  <c r="J19" i="1"/>
  <c r="K19" i="1"/>
  <c r="L19" i="1"/>
  <c r="M19" i="1"/>
  <c r="N19" i="1"/>
  <c r="O19" i="1"/>
  <c r="G15" i="1"/>
  <c r="H15" i="1"/>
  <c r="I15" i="1"/>
  <c r="J15" i="1"/>
  <c r="K15" i="1"/>
  <c r="L15" i="1"/>
  <c r="M15" i="1"/>
  <c r="N15" i="1"/>
  <c r="O15" i="1"/>
  <c r="J11" i="1"/>
  <c r="K11" i="1"/>
  <c r="L11" i="1"/>
  <c r="M11" i="1"/>
  <c r="N11" i="1"/>
  <c r="O11" i="1"/>
  <c r="H11" i="1"/>
  <c r="I11" i="1"/>
  <c r="Y30" i="2"/>
  <c r="K26" i="2"/>
  <c r="L26" i="2"/>
  <c r="M26" i="2"/>
  <c r="J26" i="2"/>
  <c r="D9" i="2"/>
  <c r="N51" i="1" s="1"/>
  <c r="E9" i="2"/>
  <c r="O51" i="1" s="1"/>
  <c r="C9" i="2"/>
  <c r="M51" i="1" s="1"/>
  <c r="F22" i="2"/>
  <c r="F23" i="2"/>
  <c r="F24" i="2"/>
  <c r="F21" i="2"/>
  <c r="E30" i="2"/>
  <c r="E31" i="2" s="1"/>
  <c r="K47" i="2" s="1"/>
  <c r="M22" i="1" s="1"/>
  <c r="D30" i="2"/>
  <c r="D32" i="2" s="1"/>
  <c r="L40" i="2" s="1"/>
  <c r="K22" i="1" s="1"/>
  <c r="C30" i="2"/>
  <c r="C31" i="2" s="1"/>
  <c r="K30" i="2" s="1"/>
  <c r="D26" i="2"/>
  <c r="E26" i="2"/>
  <c r="C26" i="2"/>
  <c r="C25" i="2"/>
  <c r="D25" i="2"/>
  <c r="E25" i="2"/>
  <c r="O22" i="8"/>
  <c r="O23" i="8"/>
  <c r="O24" i="8"/>
  <c r="O25" i="8"/>
  <c r="O16" i="8"/>
  <c r="O17" i="8"/>
  <c r="O18" i="8"/>
  <c r="O19" i="8"/>
  <c r="O20" i="8"/>
  <c r="O21" i="8"/>
  <c r="O14" i="8"/>
  <c r="O15" i="8"/>
  <c r="O13" i="8"/>
  <c r="O12" i="8"/>
  <c r="O9" i="8"/>
  <c r="O10" i="8"/>
  <c r="O11" i="8"/>
  <c r="O8" i="8"/>
  <c r="O7" i="8"/>
  <c r="C28" i="7"/>
  <c r="C19" i="7"/>
  <c r="C10" i="7"/>
  <c r="D10" i="7" s="1"/>
  <c r="E10" i="7" s="1"/>
  <c r="F10" i="7" s="1"/>
  <c r="G10" i="7" s="1"/>
  <c r="H10" i="7" s="1"/>
  <c r="I10" i="7" s="1"/>
  <c r="J10" i="7" s="1"/>
  <c r="K10" i="7" s="1"/>
  <c r="L10" i="7" s="1"/>
  <c r="M10" i="7" s="1"/>
  <c r="N10" i="7" s="1"/>
  <c r="O10" i="7" s="1"/>
  <c r="P10" i="7" s="1"/>
  <c r="Q10" i="7" s="1"/>
  <c r="R10" i="7" s="1"/>
  <c r="S10" i="7" s="1"/>
  <c r="T10" i="7" s="1"/>
  <c r="U10" i="7" s="1"/>
  <c r="D11" i="7"/>
  <c r="E11" i="7" s="1"/>
  <c r="F11" i="7" s="1"/>
  <c r="G11" i="7" s="1"/>
  <c r="H11" i="7" s="1"/>
  <c r="I11" i="7" s="1"/>
  <c r="J11" i="7" s="1"/>
  <c r="K11" i="7" s="1"/>
  <c r="L11" i="7" s="1"/>
  <c r="M11" i="7" s="1"/>
  <c r="N11" i="7" s="1"/>
  <c r="O11" i="7" s="1"/>
  <c r="P11" i="7" s="1"/>
  <c r="T10" i="1"/>
  <c r="U10" i="1"/>
  <c r="S10" i="1"/>
  <c r="S7" i="1"/>
  <c r="T17" i="1"/>
  <c r="U17" i="1"/>
  <c r="S17" i="1"/>
  <c r="U7" i="1"/>
  <c r="T7" i="1"/>
  <c r="Z27" i="2"/>
  <c r="X27" i="2"/>
  <c r="Y24" i="2"/>
  <c r="Y23" i="2"/>
  <c r="W50" i="1"/>
  <c r="X50" i="1"/>
  <c r="W51" i="1"/>
  <c r="X51" i="1"/>
  <c r="W52" i="1"/>
  <c r="X52" i="1"/>
  <c r="W53" i="1"/>
  <c r="W54" i="1"/>
  <c r="X54" i="1"/>
  <c r="W55" i="1"/>
  <c r="X55" i="1"/>
  <c r="V54" i="1"/>
  <c r="V64" i="1"/>
  <c r="W64" i="1"/>
  <c r="X64" i="1"/>
  <c r="V72" i="1"/>
  <c r="W72" i="1"/>
  <c r="X72" i="1"/>
  <c r="W68" i="1"/>
  <c r="X68" i="1"/>
  <c r="E12" i="18" s="1"/>
  <c r="F12" i="18" s="1"/>
  <c r="G12" i="18" s="1"/>
  <c r="H12" i="18" s="1"/>
  <c r="I12" i="18" s="1"/>
  <c r="J12" i="18" s="1"/>
  <c r="K12" i="18" s="1"/>
  <c r="L12" i="18" s="1"/>
  <c r="M12" i="18" s="1"/>
  <c r="N12" i="18" s="1"/>
  <c r="O12" i="18" s="1"/>
  <c r="P12" i="18" s="1"/>
  <c r="Q12" i="18" s="1"/>
  <c r="R12" i="18" s="1"/>
  <c r="W69" i="1"/>
  <c r="X69" i="1"/>
  <c r="E35" i="18" s="1"/>
  <c r="F35" i="18" s="1"/>
  <c r="G35" i="18" s="1"/>
  <c r="H35" i="18" s="1"/>
  <c r="I35" i="18" s="1"/>
  <c r="J35" i="18" s="1"/>
  <c r="K35" i="18" s="1"/>
  <c r="L35" i="18" s="1"/>
  <c r="M35" i="18" s="1"/>
  <c r="N35" i="18" s="1"/>
  <c r="O35" i="18" s="1"/>
  <c r="P35" i="18" s="1"/>
  <c r="Q35" i="18" s="1"/>
  <c r="R35" i="18" s="1"/>
  <c r="W70" i="1"/>
  <c r="X70" i="1"/>
  <c r="W71" i="1"/>
  <c r="X71" i="1"/>
  <c r="E56" i="18" s="1"/>
  <c r="F56" i="18" s="1"/>
  <c r="G56" i="18" s="1"/>
  <c r="H56" i="18" s="1"/>
  <c r="I56" i="18" s="1"/>
  <c r="J56" i="18" s="1"/>
  <c r="K56" i="18" s="1"/>
  <c r="L56" i="18" s="1"/>
  <c r="M56" i="18" s="1"/>
  <c r="N56" i="18" s="1"/>
  <c r="O56" i="18" s="1"/>
  <c r="P56" i="18" s="1"/>
  <c r="Q56" i="18" s="1"/>
  <c r="R56" i="18" s="1"/>
  <c r="W73" i="1"/>
  <c r="X73" i="1"/>
  <c r="V73" i="1"/>
  <c r="E100" i="9" s="1"/>
  <c r="F100" i="9" s="1"/>
  <c r="G100" i="9" s="1"/>
  <c r="H100" i="9" s="1"/>
  <c r="I100" i="9" s="1"/>
  <c r="J100" i="9" s="1"/>
  <c r="K100" i="9" s="1"/>
  <c r="L100" i="9" s="1"/>
  <c r="M100" i="9" s="1"/>
  <c r="N100" i="9" s="1"/>
  <c r="O100" i="9" s="1"/>
  <c r="P100" i="9" s="1"/>
  <c r="Q100" i="9" s="1"/>
  <c r="R100" i="9" s="1"/>
  <c r="V71" i="1"/>
  <c r="V70" i="1"/>
  <c r="V68" i="1"/>
  <c r="V69" i="1"/>
  <c r="W58" i="1"/>
  <c r="X58" i="1"/>
  <c r="E11" i="18" s="1"/>
  <c r="F11" i="18" s="1"/>
  <c r="G11" i="18" s="1"/>
  <c r="H11" i="18" s="1"/>
  <c r="I11" i="18" s="1"/>
  <c r="J11" i="18" s="1"/>
  <c r="K11" i="18" s="1"/>
  <c r="L11" i="18" s="1"/>
  <c r="M11" i="18" s="1"/>
  <c r="N11" i="18" s="1"/>
  <c r="O11" i="18" s="1"/>
  <c r="P11" i="18" s="1"/>
  <c r="Q11" i="18" s="1"/>
  <c r="R11" i="18" s="1"/>
  <c r="W59" i="1"/>
  <c r="X59" i="1"/>
  <c r="E34" i="18" s="1"/>
  <c r="F34" i="18" s="1"/>
  <c r="G34" i="18" s="1"/>
  <c r="H34" i="18" s="1"/>
  <c r="I34" i="18" s="1"/>
  <c r="J34" i="18" s="1"/>
  <c r="K34" i="18" s="1"/>
  <c r="L34" i="18" s="1"/>
  <c r="M34" i="18" s="1"/>
  <c r="N34" i="18" s="1"/>
  <c r="O34" i="18" s="1"/>
  <c r="P34" i="18" s="1"/>
  <c r="Q34" i="18" s="1"/>
  <c r="R34" i="18" s="1"/>
  <c r="W60" i="1"/>
  <c r="X60" i="1"/>
  <c r="W61" i="1"/>
  <c r="X61" i="1"/>
  <c r="W62" i="1"/>
  <c r="X62" i="1"/>
  <c r="W63" i="1"/>
  <c r="X63" i="1"/>
  <c r="W65" i="1"/>
  <c r="X65" i="1"/>
  <c r="V63" i="1"/>
  <c r="V62" i="1"/>
  <c r="V61" i="1"/>
  <c r="V60" i="1"/>
  <c r="E76" i="9" s="1"/>
  <c r="V59" i="1"/>
  <c r="V65" i="1"/>
  <c r="E99" i="9" s="1"/>
  <c r="V58" i="1"/>
  <c r="V55" i="1"/>
  <c r="V52" i="1"/>
  <c r="V51" i="1"/>
  <c r="V50" i="1"/>
  <c r="AC36" i="1" l="1"/>
  <c r="F99" i="9"/>
  <c r="E99" i="17"/>
  <c r="E99" i="18"/>
  <c r="E100" i="18"/>
  <c r="F100" i="18" s="1"/>
  <c r="G100" i="18" s="1"/>
  <c r="H100" i="18" s="1"/>
  <c r="I100" i="18" s="1"/>
  <c r="J100" i="18" s="1"/>
  <c r="K100" i="18" s="1"/>
  <c r="L100" i="18" s="1"/>
  <c r="M100" i="18" s="1"/>
  <c r="N100" i="18" s="1"/>
  <c r="O100" i="18" s="1"/>
  <c r="P100" i="18" s="1"/>
  <c r="Q100" i="18" s="1"/>
  <c r="R100" i="18" s="1"/>
  <c r="E100" i="17"/>
  <c r="F100" i="17" s="1"/>
  <c r="G100" i="17" s="1"/>
  <c r="H100" i="17" s="1"/>
  <c r="I100" i="17" s="1"/>
  <c r="J100" i="17" s="1"/>
  <c r="K100" i="17" s="1"/>
  <c r="L100" i="17" s="1"/>
  <c r="M100" i="17" s="1"/>
  <c r="N100" i="17" s="1"/>
  <c r="O100" i="17" s="1"/>
  <c r="P100" i="17" s="1"/>
  <c r="Q100" i="17" s="1"/>
  <c r="R100" i="17" s="1"/>
  <c r="E3" i="9"/>
  <c r="G49" i="5"/>
  <c r="H22" i="3" s="1"/>
  <c r="F49" i="5"/>
  <c r="G22" i="3" s="1"/>
  <c r="M2" i="4"/>
  <c r="N2" i="4"/>
  <c r="H2" i="4"/>
  <c r="L2" i="4"/>
  <c r="J2" i="4"/>
  <c r="F2" i="4"/>
  <c r="I2" i="4"/>
  <c r="G2" i="4"/>
  <c r="K2" i="4"/>
  <c r="E2" i="4"/>
  <c r="E55" i="18"/>
  <c r="F55" i="18" s="1"/>
  <c r="G55" i="18" s="1"/>
  <c r="H55" i="18" s="1"/>
  <c r="I55" i="18" s="1"/>
  <c r="J55" i="18" s="1"/>
  <c r="K55" i="18" s="1"/>
  <c r="L55" i="18" s="1"/>
  <c r="M55" i="18" s="1"/>
  <c r="N55" i="18" s="1"/>
  <c r="O55" i="18" s="1"/>
  <c r="P55" i="18" s="1"/>
  <c r="Q55" i="18" s="1"/>
  <c r="R55" i="18" s="1"/>
  <c r="E11" i="9"/>
  <c r="F11" i="9" s="1"/>
  <c r="G11" i="9" s="1"/>
  <c r="H11" i="9" s="1"/>
  <c r="I11" i="9" s="1"/>
  <c r="J11" i="9" s="1"/>
  <c r="K11" i="9" s="1"/>
  <c r="L11" i="9" s="1"/>
  <c r="M11" i="9" s="1"/>
  <c r="N11" i="9" s="1"/>
  <c r="O11" i="9" s="1"/>
  <c r="P11" i="9" s="1"/>
  <c r="Q11" i="9" s="1"/>
  <c r="R11" i="9" s="1"/>
  <c r="E11" i="17"/>
  <c r="F11" i="17" s="1"/>
  <c r="G11" i="17" s="1"/>
  <c r="H11" i="17" s="1"/>
  <c r="I11" i="17" s="1"/>
  <c r="J11" i="17" s="1"/>
  <c r="K11" i="17" s="1"/>
  <c r="L11" i="17" s="1"/>
  <c r="M11" i="17" s="1"/>
  <c r="N11" i="17" s="1"/>
  <c r="O11" i="17" s="1"/>
  <c r="P11" i="17" s="1"/>
  <c r="Q11" i="17" s="1"/>
  <c r="R11" i="17" s="1"/>
  <c r="O20" i="18"/>
  <c r="P20" i="18"/>
  <c r="Q20" i="18"/>
  <c r="F20" i="18"/>
  <c r="R20" i="18"/>
  <c r="E20" i="18"/>
  <c r="G20" i="18"/>
  <c r="H20" i="18"/>
  <c r="I20" i="18"/>
  <c r="J20" i="18"/>
  <c r="K20" i="18"/>
  <c r="L20" i="18"/>
  <c r="M20" i="18"/>
  <c r="N20" i="18"/>
  <c r="D20" i="18"/>
  <c r="N64" i="18"/>
  <c r="D64" i="18"/>
  <c r="G64" i="18"/>
  <c r="O64" i="18"/>
  <c r="M64" i="18"/>
  <c r="P64" i="18"/>
  <c r="Q64" i="18"/>
  <c r="R64" i="18"/>
  <c r="E64" i="18"/>
  <c r="F64" i="18"/>
  <c r="H64" i="18"/>
  <c r="I64" i="18"/>
  <c r="J64" i="18"/>
  <c r="K64" i="18"/>
  <c r="L64" i="18"/>
  <c r="F27" i="5"/>
  <c r="F26" i="5"/>
  <c r="E49" i="5"/>
  <c r="F22" i="3" s="1"/>
  <c r="M20" i="17"/>
  <c r="N20" i="17"/>
  <c r="D20" i="17"/>
  <c r="F20" i="17"/>
  <c r="L20" i="17"/>
  <c r="O20" i="17"/>
  <c r="P20" i="17"/>
  <c r="Q20" i="17"/>
  <c r="R20" i="17"/>
  <c r="E20" i="17"/>
  <c r="G20" i="17"/>
  <c r="H20" i="17"/>
  <c r="I20" i="17"/>
  <c r="J20" i="17"/>
  <c r="K20" i="17"/>
  <c r="I7" i="6"/>
  <c r="I9" i="6"/>
  <c r="L9" i="6" s="1"/>
  <c r="F68" i="6" s="1"/>
  <c r="E22" i="5"/>
  <c r="I5" i="6"/>
  <c r="E13" i="5" s="1"/>
  <c r="N20" i="6"/>
  <c r="N21" i="6" s="1"/>
  <c r="E30" i="5" s="1"/>
  <c r="I4" i="6"/>
  <c r="E12" i="5" s="1"/>
  <c r="E31" i="5"/>
  <c r="F24" i="6"/>
  <c r="E64" i="17"/>
  <c r="F64" i="17"/>
  <c r="I64" i="17"/>
  <c r="L64" i="17"/>
  <c r="G64" i="17"/>
  <c r="H64" i="17"/>
  <c r="J64" i="17"/>
  <c r="K64" i="17"/>
  <c r="O64" i="17"/>
  <c r="M64" i="17"/>
  <c r="P64" i="17"/>
  <c r="N64" i="17"/>
  <c r="Q64" i="17"/>
  <c r="D64" i="17"/>
  <c r="R64" i="17"/>
  <c r="G15" i="5"/>
  <c r="H50" i="6"/>
  <c r="X7" i="6"/>
  <c r="W7" i="6"/>
  <c r="G64" i="9"/>
  <c r="O64" i="9"/>
  <c r="P64" i="9"/>
  <c r="Q64" i="9"/>
  <c r="R64" i="9"/>
  <c r="E34" i="9"/>
  <c r="F34" i="9" s="1"/>
  <c r="G34" i="9" s="1"/>
  <c r="H34" i="9" s="1"/>
  <c r="I34" i="9" s="1"/>
  <c r="J34" i="9" s="1"/>
  <c r="K34" i="9" s="1"/>
  <c r="L34" i="9" s="1"/>
  <c r="M34" i="9" s="1"/>
  <c r="N34" i="9" s="1"/>
  <c r="O34" i="9" s="1"/>
  <c r="P34" i="9" s="1"/>
  <c r="Q34" i="9" s="1"/>
  <c r="R34" i="9" s="1"/>
  <c r="E34" i="17"/>
  <c r="F34" i="17" s="1"/>
  <c r="G34" i="17" s="1"/>
  <c r="H34" i="17" s="1"/>
  <c r="I34" i="17" s="1"/>
  <c r="J34" i="17" s="1"/>
  <c r="K34" i="17" s="1"/>
  <c r="L34" i="17" s="1"/>
  <c r="M34" i="17" s="1"/>
  <c r="N34" i="17" s="1"/>
  <c r="O34" i="17" s="1"/>
  <c r="P34" i="17" s="1"/>
  <c r="Q34" i="17" s="1"/>
  <c r="R34" i="17" s="1"/>
  <c r="E76" i="18"/>
  <c r="F76" i="18" s="1"/>
  <c r="G76" i="18" s="1"/>
  <c r="H76" i="18" s="1"/>
  <c r="I76" i="18" s="1"/>
  <c r="J76" i="18" s="1"/>
  <c r="K76" i="18" s="1"/>
  <c r="L76" i="18" s="1"/>
  <c r="M76" i="18" s="1"/>
  <c r="N76" i="18" s="1"/>
  <c r="O76" i="18" s="1"/>
  <c r="P76" i="18" s="1"/>
  <c r="Q76" i="18" s="1"/>
  <c r="R76" i="18" s="1"/>
  <c r="E76" i="17"/>
  <c r="E55" i="9"/>
  <c r="E55" i="17"/>
  <c r="F55" i="17" s="1"/>
  <c r="G55" i="17" s="1"/>
  <c r="H55" i="17" s="1"/>
  <c r="I55" i="17" s="1"/>
  <c r="J55" i="17" s="1"/>
  <c r="K55" i="17" s="1"/>
  <c r="L55" i="17" s="1"/>
  <c r="M55" i="17" s="1"/>
  <c r="N55" i="17" s="1"/>
  <c r="O55" i="17" s="1"/>
  <c r="P55" i="17" s="1"/>
  <c r="Q55" i="17" s="1"/>
  <c r="R55" i="17" s="1"/>
  <c r="E35" i="9"/>
  <c r="F35" i="9" s="1"/>
  <c r="G35" i="9" s="1"/>
  <c r="H35" i="9" s="1"/>
  <c r="I35" i="9" s="1"/>
  <c r="J35" i="9" s="1"/>
  <c r="K35" i="9" s="1"/>
  <c r="L35" i="9" s="1"/>
  <c r="M35" i="9" s="1"/>
  <c r="N35" i="9" s="1"/>
  <c r="O35" i="9" s="1"/>
  <c r="P35" i="9" s="1"/>
  <c r="Q35" i="9" s="1"/>
  <c r="R35" i="9" s="1"/>
  <c r="E35" i="17"/>
  <c r="F35" i="17" s="1"/>
  <c r="G35" i="17" s="1"/>
  <c r="H35" i="17" s="1"/>
  <c r="I35" i="17" s="1"/>
  <c r="J35" i="17" s="1"/>
  <c r="K35" i="17" s="1"/>
  <c r="L35" i="17" s="1"/>
  <c r="M35" i="17" s="1"/>
  <c r="N35" i="17" s="1"/>
  <c r="O35" i="17" s="1"/>
  <c r="P35" i="17" s="1"/>
  <c r="Q35" i="17" s="1"/>
  <c r="R35" i="17" s="1"/>
  <c r="O7" i="6"/>
  <c r="F22" i="5"/>
  <c r="O9" i="6"/>
  <c r="P9" i="6" s="1"/>
  <c r="G52" i="6" s="1"/>
  <c r="O5" i="6"/>
  <c r="R5" i="6" s="1"/>
  <c r="G65" i="6" s="1"/>
  <c r="O4" i="6"/>
  <c r="Q4" i="6" s="1"/>
  <c r="G56" i="6" s="1"/>
  <c r="O20" i="6"/>
  <c r="O21" i="6" s="1"/>
  <c r="F30" i="5" s="1"/>
  <c r="G24" i="6"/>
  <c r="F31" i="5"/>
  <c r="I85" i="18"/>
  <c r="J85" i="18"/>
  <c r="K85" i="18"/>
  <c r="L85" i="18"/>
  <c r="M85" i="18"/>
  <c r="N85" i="18"/>
  <c r="D85" i="18"/>
  <c r="H85" i="18"/>
  <c r="O85" i="18"/>
  <c r="P85" i="18"/>
  <c r="Q85" i="18"/>
  <c r="E85" i="18"/>
  <c r="R85" i="18"/>
  <c r="F85" i="18"/>
  <c r="G85" i="18"/>
  <c r="E27" i="5"/>
  <c r="E26" i="5"/>
  <c r="E12" i="9"/>
  <c r="F12" i="9" s="1"/>
  <c r="G12" i="9" s="1"/>
  <c r="H12" i="9" s="1"/>
  <c r="I12" i="9" s="1"/>
  <c r="J12" i="9" s="1"/>
  <c r="K12" i="9" s="1"/>
  <c r="L12" i="9" s="1"/>
  <c r="M12" i="9" s="1"/>
  <c r="N12" i="9" s="1"/>
  <c r="O12" i="9" s="1"/>
  <c r="P12" i="9" s="1"/>
  <c r="Q12" i="9" s="1"/>
  <c r="R12" i="9" s="1"/>
  <c r="E12" i="17"/>
  <c r="F12" i="17" s="1"/>
  <c r="G12" i="17" s="1"/>
  <c r="H12" i="17" s="1"/>
  <c r="I12" i="17" s="1"/>
  <c r="J12" i="17" s="1"/>
  <c r="K12" i="17" s="1"/>
  <c r="L12" i="17" s="1"/>
  <c r="M12" i="17" s="1"/>
  <c r="N12" i="17" s="1"/>
  <c r="O12" i="17" s="1"/>
  <c r="P12" i="17" s="1"/>
  <c r="Q12" i="17" s="1"/>
  <c r="R12" i="17" s="1"/>
  <c r="O85" i="17"/>
  <c r="N85" i="17"/>
  <c r="P85" i="17"/>
  <c r="D85" i="17"/>
  <c r="Q85" i="17"/>
  <c r="R85" i="17"/>
  <c r="G85" i="17"/>
  <c r="M85" i="17"/>
  <c r="E85" i="17"/>
  <c r="F85" i="17"/>
  <c r="H85" i="17"/>
  <c r="I85" i="17"/>
  <c r="J85" i="17"/>
  <c r="K85" i="17"/>
  <c r="L85" i="17"/>
  <c r="E77" i="9"/>
  <c r="F77" i="9" s="1"/>
  <c r="G77" i="9" s="1"/>
  <c r="H77" i="9" s="1"/>
  <c r="I77" i="9" s="1"/>
  <c r="J77" i="9" s="1"/>
  <c r="K77" i="9" s="1"/>
  <c r="L77" i="9" s="1"/>
  <c r="M77" i="9" s="1"/>
  <c r="N77" i="9" s="1"/>
  <c r="O77" i="9" s="1"/>
  <c r="P77" i="9" s="1"/>
  <c r="Q77" i="9" s="1"/>
  <c r="R77" i="9" s="1"/>
  <c r="E77" i="18"/>
  <c r="F77" i="18" s="1"/>
  <c r="G77" i="18" s="1"/>
  <c r="H77" i="18" s="1"/>
  <c r="I77" i="18" s="1"/>
  <c r="J77" i="18" s="1"/>
  <c r="K77" i="18" s="1"/>
  <c r="L77" i="18" s="1"/>
  <c r="M77" i="18" s="1"/>
  <c r="N77" i="18" s="1"/>
  <c r="O77" i="18" s="1"/>
  <c r="P77" i="18" s="1"/>
  <c r="Q77" i="18" s="1"/>
  <c r="R77" i="18" s="1"/>
  <c r="E77" i="17"/>
  <c r="F77" i="17" s="1"/>
  <c r="G77" i="17" s="1"/>
  <c r="H77" i="17" s="1"/>
  <c r="I77" i="17" s="1"/>
  <c r="J77" i="17" s="1"/>
  <c r="K77" i="17" s="1"/>
  <c r="L77" i="17" s="1"/>
  <c r="M77" i="17" s="1"/>
  <c r="N77" i="17" s="1"/>
  <c r="O77" i="17" s="1"/>
  <c r="P77" i="17" s="1"/>
  <c r="Q77" i="17" s="1"/>
  <c r="R77" i="17" s="1"/>
  <c r="N85" i="9"/>
  <c r="P85" i="9"/>
  <c r="O85" i="9"/>
  <c r="Q85" i="9"/>
  <c r="R85" i="9"/>
  <c r="D19" i="7"/>
  <c r="C20" i="7"/>
  <c r="E56" i="9"/>
  <c r="F56" i="9" s="1"/>
  <c r="G56" i="9" s="1"/>
  <c r="H56" i="9" s="1"/>
  <c r="I56" i="9" s="1"/>
  <c r="J56" i="9" s="1"/>
  <c r="K56" i="9" s="1"/>
  <c r="L56" i="9" s="1"/>
  <c r="M56" i="9" s="1"/>
  <c r="N56" i="9" s="1"/>
  <c r="O56" i="9" s="1"/>
  <c r="P56" i="9" s="1"/>
  <c r="Q56" i="9" s="1"/>
  <c r="R56" i="9" s="1"/>
  <c r="E56" i="17"/>
  <c r="F56" i="17" s="1"/>
  <c r="G56" i="17" s="1"/>
  <c r="H56" i="17" s="1"/>
  <c r="I56" i="17" s="1"/>
  <c r="J56" i="17" s="1"/>
  <c r="K56" i="17" s="1"/>
  <c r="L56" i="17" s="1"/>
  <c r="M56" i="17" s="1"/>
  <c r="N56" i="17" s="1"/>
  <c r="O56" i="17" s="1"/>
  <c r="P56" i="17" s="1"/>
  <c r="Q56" i="17" s="1"/>
  <c r="R56" i="17" s="1"/>
  <c r="I43" i="18"/>
  <c r="J43" i="18"/>
  <c r="K43" i="18"/>
  <c r="Q43" i="18"/>
  <c r="M43" i="18"/>
  <c r="L43" i="18"/>
  <c r="N43" i="18"/>
  <c r="D43" i="18"/>
  <c r="O43" i="18"/>
  <c r="P43" i="18"/>
  <c r="R43" i="18"/>
  <c r="E43" i="18"/>
  <c r="H43" i="18"/>
  <c r="F43" i="18"/>
  <c r="G43" i="18"/>
  <c r="I8" i="6"/>
  <c r="L8" i="6" s="1"/>
  <c r="F67" i="6" s="1"/>
  <c r="H43" i="17"/>
  <c r="I43" i="17"/>
  <c r="J43" i="17"/>
  <c r="R43" i="17"/>
  <c r="G43" i="17"/>
  <c r="L43" i="17"/>
  <c r="K43" i="17"/>
  <c r="M43" i="17"/>
  <c r="N43" i="17"/>
  <c r="D43" i="17"/>
  <c r="O43" i="17"/>
  <c r="P43" i="17"/>
  <c r="E43" i="17"/>
  <c r="Q43" i="17"/>
  <c r="F43" i="17"/>
  <c r="E29" i="5"/>
  <c r="E28" i="5"/>
  <c r="E20" i="9"/>
  <c r="O20" i="9"/>
  <c r="P20" i="9"/>
  <c r="Q20" i="9"/>
  <c r="R20" i="9"/>
  <c r="F43" i="9"/>
  <c r="R43" i="9"/>
  <c r="O43" i="9"/>
  <c r="P43" i="9"/>
  <c r="Q43" i="9"/>
  <c r="U6" i="6"/>
  <c r="O6" i="6"/>
  <c r="Q6" i="6" s="1"/>
  <c r="G58" i="6" s="1"/>
  <c r="Z10" i="6"/>
  <c r="V43" i="1"/>
  <c r="I6" i="6"/>
  <c r="O8" i="6"/>
  <c r="P8" i="6" s="1"/>
  <c r="D28" i="7"/>
  <c r="C29" i="7"/>
  <c r="G31" i="5"/>
  <c r="U9" i="6"/>
  <c r="G29" i="5"/>
  <c r="U8" i="6"/>
  <c r="W8" i="6" s="1"/>
  <c r="H59" i="6" s="1"/>
  <c r="G27" i="5"/>
  <c r="G28" i="5"/>
  <c r="U5" i="6"/>
  <c r="G26" i="5"/>
  <c r="U4" i="6"/>
  <c r="X4" i="6" s="1"/>
  <c r="H64" i="6" s="1"/>
  <c r="H24" i="6"/>
  <c r="P20" i="6"/>
  <c r="P21" i="6" s="1"/>
  <c r="P23" i="6" s="1"/>
  <c r="P30" i="6" s="1"/>
  <c r="P37" i="6" s="1"/>
  <c r="G22" i="5"/>
  <c r="N30" i="7"/>
  <c r="N31" i="7" s="1"/>
  <c r="O30" i="7"/>
  <c r="O31" i="7" s="1"/>
  <c r="P30" i="7"/>
  <c r="P31" i="7" s="1"/>
  <c r="M30" i="7"/>
  <c r="M31" i="7" s="1"/>
  <c r="F6" i="1"/>
  <c r="F5" i="1"/>
  <c r="D2" i="9"/>
  <c r="D174" i="9"/>
  <c r="N54" i="8"/>
  <c r="P13" i="8"/>
  <c r="L21" i="7" s="1"/>
  <c r="L22" i="7" s="1"/>
  <c r="P9" i="8"/>
  <c r="N56" i="8" s="1"/>
  <c r="P8" i="8"/>
  <c r="N51" i="8"/>
  <c r="N53" i="8"/>
  <c r="N55" i="8"/>
  <c r="N33" i="8"/>
  <c r="F84" i="1"/>
  <c r="D33" i="5"/>
  <c r="I22" i="3"/>
  <c r="G98" i="1"/>
  <c r="F76" i="9"/>
  <c r="F64" i="9"/>
  <c r="E64" i="9"/>
  <c r="D85" i="9"/>
  <c r="M85" i="9"/>
  <c r="L85" i="9"/>
  <c r="N64" i="9"/>
  <c r="J85" i="9"/>
  <c r="M64" i="9"/>
  <c r="I85" i="9"/>
  <c r="L64" i="9"/>
  <c r="H85" i="9"/>
  <c r="K64" i="9"/>
  <c r="G85" i="9"/>
  <c r="J64" i="9"/>
  <c r="F85" i="9"/>
  <c r="K85" i="9"/>
  <c r="I64" i="9"/>
  <c r="E85" i="9"/>
  <c r="H64" i="9"/>
  <c r="D64" i="9"/>
  <c r="F55" i="9"/>
  <c r="D26" i="9"/>
  <c r="D49" i="9" s="1"/>
  <c r="O87" i="1"/>
  <c r="N87" i="1"/>
  <c r="M87" i="1"/>
  <c r="V31" i="1"/>
  <c r="H85" i="1"/>
  <c r="F85" i="1" s="1"/>
  <c r="T33" i="1"/>
  <c r="F87" i="1"/>
  <c r="V28" i="1"/>
  <c r="V26" i="1"/>
  <c r="E43" i="9"/>
  <c r="D43" i="9"/>
  <c r="N43" i="9"/>
  <c r="M43" i="9"/>
  <c r="L43" i="9"/>
  <c r="K43" i="9"/>
  <c r="J43" i="9"/>
  <c r="I43" i="9"/>
  <c r="H43" i="9"/>
  <c r="G43" i="9"/>
  <c r="J30" i="2"/>
  <c r="F25" i="2"/>
  <c r="K31" i="2"/>
  <c r="G14" i="1" s="1"/>
  <c r="J40" i="2"/>
  <c r="H56" i="1" s="1"/>
  <c r="K33" i="2"/>
  <c r="G22" i="1" s="1"/>
  <c r="J47" i="2"/>
  <c r="K32" i="2"/>
  <c r="G18" i="1" s="1"/>
  <c r="N20" i="9"/>
  <c r="K34" i="2"/>
  <c r="G26" i="1" s="1"/>
  <c r="G10" i="1"/>
  <c r="D20" i="9"/>
  <c r="M20" i="9"/>
  <c r="L20" i="9"/>
  <c r="K20" i="9"/>
  <c r="J20" i="9"/>
  <c r="I20" i="9"/>
  <c r="H20" i="9"/>
  <c r="G20" i="9"/>
  <c r="F20" i="9"/>
  <c r="J33" i="2"/>
  <c r="J34" i="2"/>
  <c r="J32" i="2"/>
  <c r="J31" i="2"/>
  <c r="V37" i="1"/>
  <c r="J45" i="2"/>
  <c r="J44" i="2"/>
  <c r="I56" i="1"/>
  <c r="K46" i="2"/>
  <c r="M18" i="1" s="1"/>
  <c r="J46" i="2"/>
  <c r="K45" i="2"/>
  <c r="M14" i="1" s="1"/>
  <c r="K48" i="2"/>
  <c r="M26" i="1" s="1"/>
  <c r="J48" i="2"/>
  <c r="K44" i="2"/>
  <c r="M10" i="1" s="1"/>
  <c r="J37" i="2"/>
  <c r="L38" i="2"/>
  <c r="K14" i="1" s="1"/>
  <c r="L37" i="2"/>
  <c r="K10" i="1" s="1"/>
  <c r="L39" i="2"/>
  <c r="K18" i="1" s="1"/>
  <c r="J39" i="2"/>
  <c r="J38" i="2"/>
  <c r="L41" i="2"/>
  <c r="K26" i="1" s="1"/>
  <c r="J41" i="2"/>
  <c r="F4" i="1"/>
  <c r="M106" i="1" s="1"/>
  <c r="M108" i="1" s="1"/>
  <c r="D30" i="7"/>
  <c r="D31" i="7" s="1"/>
  <c r="I30" i="7"/>
  <c r="I31" i="7" s="1"/>
  <c r="G30" i="7"/>
  <c r="G31" i="7" s="1"/>
  <c r="F30" i="7"/>
  <c r="F31" i="7" s="1"/>
  <c r="E30" i="7"/>
  <c r="E31" i="7" s="1"/>
  <c r="L47" i="8"/>
  <c r="N32" i="8"/>
  <c r="L40" i="8"/>
  <c r="M47" i="8"/>
  <c r="C30" i="7"/>
  <c r="C31" i="7" s="1"/>
  <c r="L30" i="7"/>
  <c r="L31" i="7" s="1"/>
  <c r="K30" i="7"/>
  <c r="K31" i="7" s="1"/>
  <c r="J30" i="7"/>
  <c r="J31" i="7" s="1"/>
  <c r="H30" i="7"/>
  <c r="H31" i="7" s="1"/>
  <c r="F23" i="1"/>
  <c r="F11" i="1"/>
  <c r="F19" i="1"/>
  <c r="F15" i="1"/>
  <c r="G8" i="5"/>
  <c r="G9" i="5" s="1"/>
  <c r="U23" i="5" s="1"/>
  <c r="M40" i="8"/>
  <c r="O46" i="8"/>
  <c r="O45" i="8"/>
  <c r="O44" i="8"/>
  <c r="N40" i="8"/>
  <c r="O39" i="8"/>
  <c r="O38" i="8"/>
  <c r="C40" i="2"/>
  <c r="C49" i="2" s="1"/>
  <c r="E39" i="2"/>
  <c r="D39" i="2"/>
  <c r="D41" i="2"/>
  <c r="C39" i="2"/>
  <c r="C32" i="2"/>
  <c r="D33" i="2"/>
  <c r="D31" i="2"/>
  <c r="E40" i="2"/>
  <c r="C33" i="2"/>
  <c r="E33" i="2"/>
  <c r="E32" i="2"/>
  <c r="V17" i="1"/>
  <c r="V10" i="1"/>
  <c r="V7" i="1"/>
  <c r="AC27" i="1" l="1"/>
  <c r="AC28" i="1"/>
  <c r="AC30" i="1"/>
  <c r="AC34" i="1"/>
  <c r="AC33" i="1"/>
  <c r="AC29" i="1"/>
  <c r="AC35" i="1"/>
  <c r="AC47" i="1" s="1"/>
  <c r="J99" i="18"/>
  <c r="N99" i="18"/>
  <c r="M99" i="18"/>
  <c r="R99" i="18"/>
  <c r="I99" i="18"/>
  <c r="L99" i="18"/>
  <c r="O99" i="18"/>
  <c r="F99" i="18"/>
  <c r="P99" i="18"/>
  <c r="Q99" i="18"/>
  <c r="G99" i="18"/>
  <c r="K99" i="18"/>
  <c r="H99" i="18"/>
  <c r="F76" i="17"/>
  <c r="F99" i="17"/>
  <c r="G76" i="9"/>
  <c r="G99" i="9"/>
  <c r="G76" i="1"/>
  <c r="G107" i="1"/>
  <c r="AA7" i="6"/>
  <c r="AC51" i="6" s="1"/>
  <c r="O23" i="6"/>
  <c r="O30" i="6" s="1"/>
  <c r="K4" i="6"/>
  <c r="F56" i="6" s="1"/>
  <c r="Q9" i="6"/>
  <c r="G60" i="6" s="1"/>
  <c r="E17" i="5"/>
  <c r="F17" i="5"/>
  <c r="R9" i="6"/>
  <c r="G68" i="6" s="1"/>
  <c r="L4" i="6"/>
  <c r="F64" i="6" s="1"/>
  <c r="H22" i="5"/>
  <c r="F13" i="5"/>
  <c r="F12" i="5"/>
  <c r="L5" i="6"/>
  <c r="F65" i="6" s="1"/>
  <c r="J4" i="6"/>
  <c r="F47" i="6" s="1"/>
  <c r="K5" i="6"/>
  <c r="F57" i="6" s="1"/>
  <c r="J5" i="6"/>
  <c r="F48" i="6" s="1"/>
  <c r="P7" i="6"/>
  <c r="G50" i="6" s="1"/>
  <c r="F15" i="5"/>
  <c r="R7" i="6"/>
  <c r="Q7" i="6"/>
  <c r="D15" i="2"/>
  <c r="N39" i="1" s="1"/>
  <c r="AA9" i="6"/>
  <c r="AC49" i="6" s="1"/>
  <c r="E8" i="2"/>
  <c r="E15" i="2"/>
  <c r="O39" i="1" s="1"/>
  <c r="H27" i="5"/>
  <c r="M27" i="5" s="1"/>
  <c r="F29" i="5"/>
  <c r="H29" i="5" s="1"/>
  <c r="N29" i="5" s="1"/>
  <c r="F28" i="5"/>
  <c r="H28" i="5" s="1"/>
  <c r="N28" i="5" s="1"/>
  <c r="E19" i="7"/>
  <c r="D20" i="7"/>
  <c r="J9" i="6"/>
  <c r="F52" i="6" s="1"/>
  <c r="K9" i="6"/>
  <c r="F60" i="6" s="1"/>
  <c r="R4" i="6"/>
  <c r="G64" i="6" s="1"/>
  <c r="P4" i="6"/>
  <c r="G47" i="6" s="1"/>
  <c r="J7" i="6"/>
  <c r="F50" i="6" s="1"/>
  <c r="K7" i="6"/>
  <c r="E15" i="5"/>
  <c r="L7" i="6"/>
  <c r="V7" i="6" s="1"/>
  <c r="O86" i="1"/>
  <c r="Q5" i="6"/>
  <c r="G57" i="6" s="1"/>
  <c r="P5" i="6"/>
  <c r="G48" i="6" s="1"/>
  <c r="I10" i="6"/>
  <c r="J6" i="6"/>
  <c r="F49" i="6" s="1"/>
  <c r="K6" i="6"/>
  <c r="F58" i="6" s="1"/>
  <c r="J8" i="6"/>
  <c r="F51" i="6" s="1"/>
  <c r="L6" i="6"/>
  <c r="F66" i="6" s="1"/>
  <c r="K8" i="6"/>
  <c r="F59" i="6" s="1"/>
  <c r="E16" i="5"/>
  <c r="R6" i="6"/>
  <c r="G66" i="6" s="1"/>
  <c r="Q8" i="6"/>
  <c r="G59" i="6" s="1"/>
  <c r="P6" i="6"/>
  <c r="G49" i="6" s="1"/>
  <c r="F14" i="5"/>
  <c r="R8" i="6"/>
  <c r="G67" i="6" s="1"/>
  <c r="F16" i="5"/>
  <c r="O10" i="6"/>
  <c r="F8" i="5"/>
  <c r="F9" i="5" s="1"/>
  <c r="T23" i="5" s="1"/>
  <c r="J12" i="7"/>
  <c r="J13" i="7" s="1"/>
  <c r="M33" i="8"/>
  <c r="M34" i="8" s="1"/>
  <c r="AA8" i="6"/>
  <c r="AC48" i="6" s="1"/>
  <c r="H47" i="6"/>
  <c r="V4" i="6"/>
  <c r="X5" i="6"/>
  <c r="H65" i="6" s="1"/>
  <c r="H48" i="6"/>
  <c r="V5" i="6"/>
  <c r="AA4" i="6"/>
  <c r="AC45" i="6" s="1"/>
  <c r="X8" i="6"/>
  <c r="H67" i="6" s="1"/>
  <c r="AA5" i="6"/>
  <c r="AC46" i="6" s="1"/>
  <c r="W5" i="6"/>
  <c r="H57" i="6" s="1"/>
  <c r="G16" i="5"/>
  <c r="H49" i="6"/>
  <c r="V6" i="6"/>
  <c r="V8" i="6"/>
  <c r="H51" i="6"/>
  <c r="G12" i="5"/>
  <c r="H52" i="6"/>
  <c r="G17" i="5"/>
  <c r="W4" i="6"/>
  <c r="H56" i="6" s="1"/>
  <c r="G13" i="5"/>
  <c r="X6" i="6"/>
  <c r="H66" i="6" s="1"/>
  <c r="W6" i="6"/>
  <c r="H58" i="6" s="1"/>
  <c r="AA6" i="6"/>
  <c r="AC47" i="6" s="1"/>
  <c r="O96" i="1"/>
  <c r="O106" i="1" s="1"/>
  <c r="G30" i="5"/>
  <c r="H30" i="5" s="1"/>
  <c r="V9" i="6"/>
  <c r="U10" i="6"/>
  <c r="G14" i="5"/>
  <c r="W9" i="6"/>
  <c r="H60" i="6" s="1"/>
  <c r="G21" i="7"/>
  <c r="G22" i="7" s="1"/>
  <c r="X9" i="6"/>
  <c r="H68" i="6" s="1"/>
  <c r="E28" i="7"/>
  <c r="D29" i="7"/>
  <c r="E8" i="14"/>
  <c r="E9" i="14" s="1"/>
  <c r="E21" i="7"/>
  <c r="E22" i="7" s="1"/>
  <c r="G51" i="6"/>
  <c r="J21" i="7"/>
  <c r="J22" i="7" s="1"/>
  <c r="O21" i="7"/>
  <c r="O22" i="7" s="1"/>
  <c r="N21" i="7"/>
  <c r="N22" i="7" s="1"/>
  <c r="P21" i="7"/>
  <c r="P22" i="7" s="1"/>
  <c r="M21" i="7"/>
  <c r="M22" i="7" s="1"/>
  <c r="M12" i="7"/>
  <c r="M13" i="7" s="1"/>
  <c r="P12" i="7"/>
  <c r="P13" i="7" s="1"/>
  <c r="N12" i="7"/>
  <c r="N13" i="7" s="1"/>
  <c r="D21" i="7"/>
  <c r="D22" i="7" s="1"/>
  <c r="O12" i="7"/>
  <c r="O13" i="7" s="1"/>
  <c r="K12" i="7"/>
  <c r="K13" i="7" s="1"/>
  <c r="D8" i="2"/>
  <c r="N50" i="1" s="1"/>
  <c r="N96" i="1"/>
  <c r="N86" i="1"/>
  <c r="L32" i="8"/>
  <c r="O32" i="8" s="1"/>
  <c r="K21" i="7"/>
  <c r="K22" i="7" s="1"/>
  <c r="E12" i="7"/>
  <c r="E13" i="7" s="1"/>
  <c r="O98" i="1"/>
  <c r="E72" i="18" s="1"/>
  <c r="E73" i="18" s="1"/>
  <c r="F21" i="7"/>
  <c r="F22" i="7" s="1"/>
  <c r="G12" i="7"/>
  <c r="G13" i="7" s="1"/>
  <c r="F31" i="6"/>
  <c r="N57" i="8"/>
  <c r="I21" i="7"/>
  <c r="I22" i="7" s="1"/>
  <c r="H21" i="7"/>
  <c r="H22" i="7" s="1"/>
  <c r="C21" i="7"/>
  <c r="C22" i="7" s="1"/>
  <c r="C12" i="7"/>
  <c r="C13" i="7" s="1"/>
  <c r="E26" i="9"/>
  <c r="E49" i="9" s="1"/>
  <c r="E70" i="9" s="1"/>
  <c r="E174" i="9"/>
  <c r="D25" i="9"/>
  <c r="D48" i="9" s="1"/>
  <c r="D69" i="9" s="1"/>
  <c r="D90" i="9" s="1"/>
  <c r="D173" i="9"/>
  <c r="H12" i="7"/>
  <c r="H13" i="7" s="1"/>
  <c r="F12" i="7"/>
  <c r="F13" i="7" s="1"/>
  <c r="E8" i="5"/>
  <c r="E9" i="5" s="1"/>
  <c r="S23" i="5" s="1"/>
  <c r="N52" i="8"/>
  <c r="N34" i="8"/>
  <c r="O26" i="6"/>
  <c r="G13" i="14"/>
  <c r="H13" i="14" s="1"/>
  <c r="I13" i="14" s="1"/>
  <c r="L33" i="8"/>
  <c r="O33" i="8" s="1"/>
  <c r="L12" i="7"/>
  <c r="L13" i="7" s="1"/>
  <c r="I12" i="7"/>
  <c r="I13" i="7" s="1"/>
  <c r="D12" i="7"/>
  <c r="D13" i="7" s="1"/>
  <c r="H31" i="5"/>
  <c r="O31" i="5" s="1"/>
  <c r="O88" i="1"/>
  <c r="D51" i="18" s="1"/>
  <c r="F20" i="6"/>
  <c r="G20" i="6"/>
  <c r="H20" i="6"/>
  <c r="H26" i="5"/>
  <c r="M26" i="5" s="1"/>
  <c r="N23" i="6"/>
  <c r="N30" i="6" s="1"/>
  <c r="N37" i="6" s="1"/>
  <c r="E14" i="5"/>
  <c r="D70" i="9"/>
  <c r="G55" i="9"/>
  <c r="M96" i="1"/>
  <c r="M86" i="1"/>
  <c r="M88" i="1" s="1"/>
  <c r="D51" i="9" s="1"/>
  <c r="E10" i="2"/>
  <c r="O52" i="1" s="1"/>
  <c r="O50" i="1"/>
  <c r="V33" i="1"/>
  <c r="H80" i="1"/>
  <c r="H94" i="1"/>
  <c r="C15" i="2"/>
  <c r="C8" i="2"/>
  <c r="G31" i="1"/>
  <c r="G32" i="1"/>
  <c r="M31" i="1"/>
  <c r="G52" i="1"/>
  <c r="G60" i="1"/>
  <c r="C34" i="2"/>
  <c r="M31" i="2"/>
  <c r="I14" i="1" s="1"/>
  <c r="M33" i="2"/>
  <c r="I22" i="1" s="1"/>
  <c r="M34" i="2"/>
  <c r="I26" i="1" s="1"/>
  <c r="M32" i="2"/>
  <c r="I18" i="1" s="1"/>
  <c r="M30" i="2"/>
  <c r="I10" i="1" s="1"/>
  <c r="N31" i="2"/>
  <c r="G48" i="1"/>
  <c r="N33" i="2"/>
  <c r="G56" i="1"/>
  <c r="C48" i="2"/>
  <c r="S9" i="1"/>
  <c r="C41" i="2"/>
  <c r="C50" i="2" s="1"/>
  <c r="L31" i="2"/>
  <c r="H14" i="1" s="1"/>
  <c r="L32" i="2"/>
  <c r="H18" i="1" s="1"/>
  <c r="L33" i="2"/>
  <c r="H22" i="1" s="1"/>
  <c r="L34" i="2"/>
  <c r="H26" i="1" s="1"/>
  <c r="L30" i="2"/>
  <c r="D48" i="2"/>
  <c r="T9" i="1"/>
  <c r="K31" i="1"/>
  <c r="E48" i="2"/>
  <c r="U9" i="1"/>
  <c r="E2" i="9"/>
  <c r="M32" i="1"/>
  <c r="K32" i="1"/>
  <c r="I60" i="1"/>
  <c r="I52" i="1"/>
  <c r="E34" i="2"/>
  <c r="L48" i="2"/>
  <c r="N26" i="1" s="1"/>
  <c r="L45" i="2"/>
  <c r="N14" i="1" s="1"/>
  <c r="L47" i="2"/>
  <c r="L44" i="2"/>
  <c r="N10" i="1" s="1"/>
  <c r="L46" i="2"/>
  <c r="N18" i="1" s="1"/>
  <c r="E42" i="2"/>
  <c r="E51" i="2" s="1"/>
  <c r="M44" i="2"/>
  <c r="O10" i="1" s="1"/>
  <c r="M47" i="2"/>
  <c r="O22" i="1" s="1"/>
  <c r="M45" i="2"/>
  <c r="O14" i="1" s="1"/>
  <c r="M48" i="2"/>
  <c r="O26" i="1" s="1"/>
  <c r="M46" i="2"/>
  <c r="O18" i="1" s="1"/>
  <c r="I48" i="1"/>
  <c r="H60" i="1"/>
  <c r="H48" i="1"/>
  <c r="D34" i="2"/>
  <c r="K40" i="2"/>
  <c r="K41" i="2"/>
  <c r="J26" i="1" s="1"/>
  <c r="K38" i="2"/>
  <c r="J14" i="1" s="1"/>
  <c r="K39" i="2"/>
  <c r="J18" i="1" s="1"/>
  <c r="K37" i="2"/>
  <c r="J10" i="1" s="1"/>
  <c r="H52" i="1"/>
  <c r="D42" i="2"/>
  <c r="D51" i="2" s="1"/>
  <c r="M40" i="2"/>
  <c r="L22" i="1" s="1"/>
  <c r="M38" i="2"/>
  <c r="L14" i="1" s="1"/>
  <c r="M39" i="2"/>
  <c r="L18" i="1" s="1"/>
  <c r="M41" i="2"/>
  <c r="L26" i="1" s="1"/>
  <c r="M37" i="2"/>
  <c r="L10" i="1" s="1"/>
  <c r="D40" i="2"/>
  <c r="F3" i="9"/>
  <c r="O47" i="8"/>
  <c r="H17" i="3"/>
  <c r="O40" i="8"/>
  <c r="E41" i="2"/>
  <c r="E50" i="2" s="1"/>
  <c r="C42" i="2"/>
  <c r="C51" i="2" s="1"/>
  <c r="C52" i="2" s="1"/>
  <c r="E49" i="2"/>
  <c r="C35" i="2"/>
  <c r="D35" i="2"/>
  <c r="D50" i="2"/>
  <c r="E35" i="2"/>
  <c r="E141" i="18" l="1"/>
  <c r="E180" i="18"/>
  <c r="O108" i="1"/>
  <c r="E95" i="18" s="1"/>
  <c r="E96" i="18" s="1"/>
  <c r="E93" i="18"/>
  <c r="F93" i="18"/>
  <c r="F95" i="18"/>
  <c r="G93" i="18"/>
  <c r="G95" i="18"/>
  <c r="H95" i="18"/>
  <c r="H93" i="18"/>
  <c r="I93" i="18"/>
  <c r="I95" i="18"/>
  <c r="J95" i="18"/>
  <c r="J93" i="18"/>
  <c r="K95" i="18"/>
  <c r="K93" i="18"/>
  <c r="L95" i="18"/>
  <c r="L93" i="18"/>
  <c r="M95" i="18"/>
  <c r="M93" i="18"/>
  <c r="N93" i="18"/>
  <c r="N95" i="18"/>
  <c r="O93" i="18"/>
  <c r="O95" i="18"/>
  <c r="P93" i="18"/>
  <c r="P95" i="18"/>
  <c r="Q93" i="18"/>
  <c r="Q95" i="18"/>
  <c r="R93" i="18"/>
  <c r="R95" i="18"/>
  <c r="M98" i="1"/>
  <c r="D94" i="9" s="1"/>
  <c r="O37" i="6"/>
  <c r="O41" i="6" s="1"/>
  <c r="G62" i="6" s="1"/>
  <c r="G76" i="17"/>
  <c r="G99" i="17"/>
  <c r="I56" i="6"/>
  <c r="E95" i="9"/>
  <c r="E93" i="9"/>
  <c r="I68" i="6"/>
  <c r="H17" i="5"/>
  <c r="D17" i="5" s="1"/>
  <c r="H76" i="9"/>
  <c r="H99" i="9"/>
  <c r="E91" i="9"/>
  <c r="G117" i="1"/>
  <c r="H107" i="1"/>
  <c r="G108" i="1"/>
  <c r="G114" i="1" s="1"/>
  <c r="N98" i="1"/>
  <c r="N72" i="17" s="1"/>
  <c r="N106" i="1"/>
  <c r="H76" i="1"/>
  <c r="I76" i="1" s="1"/>
  <c r="I77" i="1" s="1"/>
  <c r="G77" i="1"/>
  <c r="G86" i="1" s="1"/>
  <c r="G88" i="1" s="1"/>
  <c r="D91" i="9"/>
  <c r="M39" i="1"/>
  <c r="H13" i="5"/>
  <c r="D13" i="5" s="1"/>
  <c r="AB7" i="6"/>
  <c r="AC7" i="6"/>
  <c r="AD7" i="6"/>
  <c r="J10" i="6"/>
  <c r="AB8" i="6"/>
  <c r="B80" i="4" s="1"/>
  <c r="I59" i="6"/>
  <c r="AB4" i="6"/>
  <c r="AC5" i="6"/>
  <c r="C78" i="4" s="1"/>
  <c r="AB9" i="6"/>
  <c r="B81" i="4" s="1"/>
  <c r="I65" i="6"/>
  <c r="I60" i="6"/>
  <c r="H12" i="5"/>
  <c r="I49" i="6"/>
  <c r="F19" i="5"/>
  <c r="G18" i="3" s="1"/>
  <c r="I50" i="6"/>
  <c r="I58" i="6"/>
  <c r="I52" i="6"/>
  <c r="I64" i="6"/>
  <c r="P187" i="17"/>
  <c r="AD4" i="6"/>
  <c r="E77" i="4" s="1"/>
  <c r="H15" i="5"/>
  <c r="K10" i="6"/>
  <c r="D10" i="2"/>
  <c r="O30" i="17" s="1"/>
  <c r="N148" i="18"/>
  <c r="Q148" i="17"/>
  <c r="M148" i="18"/>
  <c r="R148" i="17"/>
  <c r="L10" i="6"/>
  <c r="O148" i="17"/>
  <c r="O187" i="17"/>
  <c r="R187" i="17"/>
  <c r="Q187" i="17"/>
  <c r="P148" i="17"/>
  <c r="F19" i="7"/>
  <c r="E20" i="7"/>
  <c r="AB5" i="6"/>
  <c r="B78" i="4" s="1"/>
  <c r="I57" i="6"/>
  <c r="I47" i="6"/>
  <c r="N187" i="18"/>
  <c r="AC8" i="6"/>
  <c r="C80" i="4" s="1"/>
  <c r="AB6" i="6"/>
  <c r="B79" i="4" s="1"/>
  <c r="V23" i="5"/>
  <c r="G17" i="3"/>
  <c r="E141" i="17" s="1"/>
  <c r="R10" i="6"/>
  <c r="E19" i="5"/>
  <c r="F18" i="3" s="1"/>
  <c r="Q10" i="6"/>
  <c r="P10" i="6"/>
  <c r="I66" i="6"/>
  <c r="AC9" i="6"/>
  <c r="C81" i="4" s="1"/>
  <c r="L187" i="18"/>
  <c r="I67" i="6"/>
  <c r="AD6" i="6"/>
  <c r="E79" i="4" s="1"/>
  <c r="H16" i="5"/>
  <c r="AC4" i="6"/>
  <c r="C77" i="4" s="1"/>
  <c r="AD5" i="6"/>
  <c r="E78" i="4" s="1"/>
  <c r="I48" i="6"/>
  <c r="AD9" i="6"/>
  <c r="E81" i="4" s="1"/>
  <c r="AA10" i="6"/>
  <c r="AC6" i="6"/>
  <c r="C79" i="4" s="1"/>
  <c r="X10" i="6"/>
  <c r="AD8" i="6"/>
  <c r="E80" i="4" s="1"/>
  <c r="W10" i="6"/>
  <c r="G19" i="5"/>
  <c r="H18" i="3" s="1"/>
  <c r="I187" i="18"/>
  <c r="C185" i="18"/>
  <c r="J148" i="18"/>
  <c r="V10" i="6"/>
  <c r="H14" i="5"/>
  <c r="D14" i="5" s="1"/>
  <c r="F28" i="7"/>
  <c r="E29" i="7"/>
  <c r="K148" i="18"/>
  <c r="I51" i="6"/>
  <c r="M187" i="18"/>
  <c r="J187" i="18"/>
  <c r="I148" i="18"/>
  <c r="R148" i="18"/>
  <c r="Q187" i="18"/>
  <c r="L148" i="18"/>
  <c r="P187" i="18"/>
  <c r="K72" i="18"/>
  <c r="K187" i="18"/>
  <c r="R187" i="18"/>
  <c r="O187" i="18"/>
  <c r="O148" i="18"/>
  <c r="Q148" i="18"/>
  <c r="C146" i="18"/>
  <c r="P148" i="18"/>
  <c r="R28" i="18"/>
  <c r="O72" i="18"/>
  <c r="J72" i="18"/>
  <c r="Q30" i="18"/>
  <c r="I72" i="18"/>
  <c r="Q28" i="18"/>
  <c r="P30" i="18"/>
  <c r="P28" i="18"/>
  <c r="O28" i="18"/>
  <c r="O30" i="18"/>
  <c r="R51" i="18"/>
  <c r="Q51" i="18"/>
  <c r="P51" i="18"/>
  <c r="O51" i="18"/>
  <c r="R72" i="18"/>
  <c r="Q72" i="18"/>
  <c r="M72" i="18"/>
  <c r="L72" i="18"/>
  <c r="R30" i="18"/>
  <c r="P72" i="18"/>
  <c r="H72" i="18"/>
  <c r="G72" i="18"/>
  <c r="F72" i="18"/>
  <c r="F73" i="18" s="1"/>
  <c r="N187" i="17"/>
  <c r="J187" i="17"/>
  <c r="I148" i="17"/>
  <c r="L187" i="17"/>
  <c r="K148" i="17"/>
  <c r="D72" i="18"/>
  <c r="N72" i="18"/>
  <c r="M187" i="17"/>
  <c r="N148" i="17"/>
  <c r="C185" i="17"/>
  <c r="L34" i="8"/>
  <c r="M148" i="17"/>
  <c r="N88" i="1"/>
  <c r="L51" i="17" s="1"/>
  <c r="K187" i="17"/>
  <c r="I187" i="17"/>
  <c r="C146" i="17"/>
  <c r="G2" i="7"/>
  <c r="L148" i="17"/>
  <c r="J30" i="18"/>
  <c r="J28" i="18"/>
  <c r="N51" i="18"/>
  <c r="I28" i="18"/>
  <c r="M51" i="18"/>
  <c r="I30" i="18"/>
  <c r="L51" i="18"/>
  <c r="K51" i="18"/>
  <c r="J148" i="17"/>
  <c r="J51" i="18"/>
  <c r="G30" i="18"/>
  <c r="I51" i="18"/>
  <c r="G28" i="18"/>
  <c r="H51" i="18"/>
  <c r="N30" i="18"/>
  <c r="E30" i="18"/>
  <c r="E31" i="18" s="1"/>
  <c r="G51" i="18"/>
  <c r="N28" i="18"/>
  <c r="F30" i="18"/>
  <c r="F51" i="18"/>
  <c r="M28" i="18"/>
  <c r="F28" i="18"/>
  <c r="E51" i="18"/>
  <c r="E52" i="18" s="1"/>
  <c r="M30" i="18"/>
  <c r="D30" i="18"/>
  <c r="L30" i="18"/>
  <c r="D28" i="18"/>
  <c r="L28" i="18"/>
  <c r="E28" i="18"/>
  <c r="E29" i="18" s="1"/>
  <c r="K30" i="18"/>
  <c r="K28" i="18"/>
  <c r="F17" i="3"/>
  <c r="H8" i="5"/>
  <c r="D8" i="5" s="1"/>
  <c r="D9" i="5" s="1"/>
  <c r="F26" i="9"/>
  <c r="F49" i="9" s="1"/>
  <c r="F70" i="9" s="1"/>
  <c r="F174" i="9"/>
  <c r="E25" i="9"/>
  <c r="E48" i="9" s="1"/>
  <c r="E69" i="9" s="1"/>
  <c r="E90" i="9" s="1"/>
  <c r="E173" i="9"/>
  <c r="H19" i="6"/>
  <c r="H21" i="6" s="1"/>
  <c r="H23" i="6" s="1"/>
  <c r="G19" i="6"/>
  <c r="G21" i="6" s="1"/>
  <c r="G23" i="6" s="1"/>
  <c r="F15" i="14"/>
  <c r="G15" i="14"/>
  <c r="H14" i="14"/>
  <c r="I14" i="14" s="1"/>
  <c r="N39" i="6"/>
  <c r="N40" i="6"/>
  <c r="N41" i="6"/>
  <c r="O34" i="8"/>
  <c r="M50" i="1"/>
  <c r="H55" i="9"/>
  <c r="E51" i="9"/>
  <c r="E52" i="9" s="1"/>
  <c r="H95" i="1"/>
  <c r="H96" i="1" s="1"/>
  <c r="I94" i="1"/>
  <c r="I95" i="1" s="1"/>
  <c r="I96" i="1" s="1"/>
  <c r="I80" i="1"/>
  <c r="I81" i="1" s="1"/>
  <c r="H81" i="1"/>
  <c r="I31" i="1"/>
  <c r="C10" i="2"/>
  <c r="U14" i="1"/>
  <c r="U21" i="1" s="1"/>
  <c r="E13" i="2"/>
  <c r="E16" i="2" s="1"/>
  <c r="S14" i="1"/>
  <c r="C13" i="2"/>
  <c r="C16" i="2" s="1"/>
  <c r="T14" i="1"/>
  <c r="T21" i="1" s="1"/>
  <c r="D13" i="2"/>
  <c r="D16" i="2" s="1"/>
  <c r="C53" i="2"/>
  <c r="C44" i="2"/>
  <c r="D43" i="2"/>
  <c r="T16" i="1" s="1"/>
  <c r="C43" i="2"/>
  <c r="S16" i="1" s="1"/>
  <c r="G66" i="1"/>
  <c r="M48" i="1" s="1"/>
  <c r="N34" i="2"/>
  <c r="D49" i="2"/>
  <c r="D53" i="2" s="1"/>
  <c r="H10" i="1"/>
  <c r="N30" i="2"/>
  <c r="I32" i="1"/>
  <c r="E43" i="2"/>
  <c r="U16" i="1" s="1"/>
  <c r="N32" i="2"/>
  <c r="F2" i="9"/>
  <c r="L32" i="1"/>
  <c r="O32" i="1"/>
  <c r="O31" i="1"/>
  <c r="N22" i="1"/>
  <c r="N31" i="1" s="1"/>
  <c r="N47" i="2"/>
  <c r="N46" i="2"/>
  <c r="E44" i="2"/>
  <c r="N45" i="2"/>
  <c r="I66" i="1"/>
  <c r="O48" i="1" s="1"/>
  <c r="N48" i="2"/>
  <c r="N44" i="2"/>
  <c r="N39" i="2"/>
  <c r="D44" i="2"/>
  <c r="J22" i="1"/>
  <c r="J31" i="1" s="1"/>
  <c r="N40" i="2"/>
  <c r="N37" i="2"/>
  <c r="H66" i="1"/>
  <c r="N48" i="1" s="1"/>
  <c r="N38" i="2"/>
  <c r="L31" i="1"/>
  <c r="N41" i="2"/>
  <c r="G3" i="9"/>
  <c r="E52" i="2"/>
  <c r="E53" i="2"/>
  <c r="E180" i="9" l="1"/>
  <c r="E141" i="9"/>
  <c r="G181" i="18"/>
  <c r="H181" i="18"/>
  <c r="F181" i="18"/>
  <c r="G142" i="18"/>
  <c r="I25" i="4" s="1"/>
  <c r="H142" i="18"/>
  <c r="J25" i="4" s="1"/>
  <c r="F142" i="18"/>
  <c r="G181" i="17"/>
  <c r="H181" i="17"/>
  <c r="F181" i="17"/>
  <c r="G142" i="17"/>
  <c r="G25" i="4" s="1"/>
  <c r="H142" i="17"/>
  <c r="F142" i="17"/>
  <c r="G181" i="9"/>
  <c r="H181" i="9"/>
  <c r="F181" i="9"/>
  <c r="G142" i="9"/>
  <c r="E25" i="4" s="1"/>
  <c r="H142" i="9"/>
  <c r="F142" i="9"/>
  <c r="D94" i="17"/>
  <c r="K72" i="17"/>
  <c r="M72" i="17"/>
  <c r="F96" i="18"/>
  <c r="G96" i="18" s="1"/>
  <c r="H96" i="18" s="1"/>
  <c r="I96" i="18" s="1"/>
  <c r="J96" i="18" s="1"/>
  <c r="K96" i="18" s="1"/>
  <c r="L96" i="18" s="1"/>
  <c r="M96" i="18" s="1"/>
  <c r="G72" i="17"/>
  <c r="E72" i="9"/>
  <c r="E73" i="9" s="1"/>
  <c r="G28" i="17"/>
  <c r="D72" i="17"/>
  <c r="D72" i="9"/>
  <c r="E94" i="9"/>
  <c r="H72" i="17"/>
  <c r="L72" i="17"/>
  <c r="J72" i="17"/>
  <c r="E72" i="17"/>
  <c r="E73" i="17" s="1"/>
  <c r="F72" i="17"/>
  <c r="F73" i="17" s="1"/>
  <c r="G73" i="17" s="1"/>
  <c r="N108" i="1"/>
  <c r="F95" i="17" s="1"/>
  <c r="E93" i="17"/>
  <c r="E94" i="17" s="1"/>
  <c r="E95" i="17"/>
  <c r="E96" i="17" s="1"/>
  <c r="K95" i="17"/>
  <c r="L95" i="17"/>
  <c r="L93" i="17"/>
  <c r="M93" i="17"/>
  <c r="AC52" i="6"/>
  <c r="O39" i="6"/>
  <c r="G54" i="6" s="1"/>
  <c r="O40" i="6"/>
  <c r="G70" i="6" s="1"/>
  <c r="H76" i="17"/>
  <c r="H99" i="17"/>
  <c r="I76" i="9"/>
  <c r="I99" i="9"/>
  <c r="E96" i="9"/>
  <c r="F91" i="9"/>
  <c r="F93" i="9"/>
  <c r="F95" i="9"/>
  <c r="H77" i="1"/>
  <c r="F77" i="1" s="1"/>
  <c r="R72" i="17"/>
  <c r="I107" i="1"/>
  <c r="H108" i="1"/>
  <c r="H114" i="1" s="1"/>
  <c r="H117" i="1"/>
  <c r="K28" i="17"/>
  <c r="Q72" i="17"/>
  <c r="P72" i="17"/>
  <c r="I72" i="17"/>
  <c r="O72" i="17"/>
  <c r="L28" i="17"/>
  <c r="K30" i="17"/>
  <c r="F28" i="17"/>
  <c r="D30" i="17"/>
  <c r="M30" i="17"/>
  <c r="J30" i="17"/>
  <c r="D28" i="17"/>
  <c r="L30" i="17"/>
  <c r="N52" i="1"/>
  <c r="E30" i="17"/>
  <c r="E31" i="17" s="1"/>
  <c r="M28" i="17"/>
  <c r="D16" i="5"/>
  <c r="D15" i="5"/>
  <c r="D12" i="5"/>
  <c r="Q30" i="17"/>
  <c r="R30" i="17"/>
  <c r="G30" i="17"/>
  <c r="N28" i="17"/>
  <c r="R28" i="17"/>
  <c r="Q28" i="17"/>
  <c r="J28" i="17"/>
  <c r="P28" i="17"/>
  <c r="O28" i="17"/>
  <c r="C180" i="17"/>
  <c r="C141" i="17"/>
  <c r="N30" i="17"/>
  <c r="F30" i="17"/>
  <c r="B77" i="4"/>
  <c r="E84" i="4" s="1"/>
  <c r="AB10" i="6"/>
  <c r="I30" i="17"/>
  <c r="P30" i="17"/>
  <c r="E28" i="17"/>
  <c r="E29" i="17" s="1"/>
  <c r="K51" i="17"/>
  <c r="G51" i="17"/>
  <c r="I9" i="3"/>
  <c r="H30" i="17"/>
  <c r="R51" i="17"/>
  <c r="Q51" i="17"/>
  <c r="P51" i="17"/>
  <c r="O51" i="17"/>
  <c r="G19" i="7"/>
  <c r="F20" i="7"/>
  <c r="H30" i="18"/>
  <c r="D32" i="18" s="1"/>
  <c r="D51" i="17"/>
  <c r="I18" i="3"/>
  <c r="AC10" i="6"/>
  <c r="O40" i="1"/>
  <c r="E17" i="2"/>
  <c r="N40" i="1"/>
  <c r="D17" i="2"/>
  <c r="F28" i="9"/>
  <c r="C17" i="2"/>
  <c r="M40" i="1"/>
  <c r="AD10" i="6"/>
  <c r="H19" i="5"/>
  <c r="G28" i="7"/>
  <c r="F29" i="7"/>
  <c r="E74" i="18"/>
  <c r="E79" i="18" s="1"/>
  <c r="E80" i="18" s="1"/>
  <c r="E81" i="18" s="1"/>
  <c r="D74" i="18"/>
  <c r="D79" i="18" s="1"/>
  <c r="D80" i="18" s="1"/>
  <c r="D81" i="18" s="1"/>
  <c r="N51" i="17"/>
  <c r="F29" i="18"/>
  <c r="G29" i="18" s="1"/>
  <c r="C180" i="18"/>
  <c r="D148" i="9"/>
  <c r="I86" i="1"/>
  <c r="I88" i="1" s="1"/>
  <c r="F51" i="17"/>
  <c r="I51" i="17"/>
  <c r="H51" i="17"/>
  <c r="M51" i="17"/>
  <c r="J51" i="17"/>
  <c r="C141" i="18"/>
  <c r="E51" i="17"/>
  <c r="E52" i="17" s="1"/>
  <c r="F31" i="18"/>
  <c r="D187" i="9"/>
  <c r="F52" i="18"/>
  <c r="E53" i="18"/>
  <c r="D53" i="18"/>
  <c r="I17" i="3"/>
  <c r="H9" i="5"/>
  <c r="G73" i="18"/>
  <c r="F74" i="18"/>
  <c r="F79" i="18" s="1"/>
  <c r="F80" i="18" s="1"/>
  <c r="F81" i="18" s="1"/>
  <c r="H98" i="1"/>
  <c r="I98" i="1"/>
  <c r="F51" i="9"/>
  <c r="F52" i="9" s="1"/>
  <c r="F72" i="9"/>
  <c r="F73" i="9" s="1"/>
  <c r="G26" i="9"/>
  <c r="G49" i="9" s="1"/>
  <c r="G70" i="9" s="1"/>
  <c r="G174" i="9"/>
  <c r="F25" i="9"/>
  <c r="F48" i="9" s="1"/>
  <c r="F69" i="9" s="1"/>
  <c r="F90" i="9" s="1"/>
  <c r="F173" i="9"/>
  <c r="F16" i="14"/>
  <c r="G16" i="14"/>
  <c r="H15" i="14"/>
  <c r="I15" i="14" s="1"/>
  <c r="G26" i="6"/>
  <c r="F24" i="5" s="1"/>
  <c r="G25" i="6"/>
  <c r="H31" i="1"/>
  <c r="F19" i="6"/>
  <c r="F21" i="6" s="1"/>
  <c r="F23" i="6" s="1"/>
  <c r="H26" i="6"/>
  <c r="G24" i="5" s="1"/>
  <c r="H25" i="6"/>
  <c r="P39" i="6"/>
  <c r="H54" i="6" s="1"/>
  <c r="F54" i="6"/>
  <c r="P41" i="6"/>
  <c r="H62" i="6" s="1"/>
  <c r="F62" i="6"/>
  <c r="P40" i="6"/>
  <c r="H70" i="6" s="1"/>
  <c r="F70" i="6"/>
  <c r="D28" i="9"/>
  <c r="I55" i="9"/>
  <c r="E28" i="9"/>
  <c r="E29" i="9" s="1"/>
  <c r="M52" i="1"/>
  <c r="D30" i="9"/>
  <c r="F30" i="9"/>
  <c r="F80" i="1"/>
  <c r="F81" i="1"/>
  <c r="S15" i="1"/>
  <c r="E30" i="9"/>
  <c r="E31" i="9" s="1"/>
  <c r="G30" i="9"/>
  <c r="G28" i="9"/>
  <c r="S21" i="1"/>
  <c r="V21" i="1" s="1"/>
  <c r="V14" i="1"/>
  <c r="D52" i="2"/>
  <c r="H32" i="1"/>
  <c r="I38" i="1"/>
  <c r="G2" i="9"/>
  <c r="N32" i="1"/>
  <c r="I39" i="1" s="1"/>
  <c r="O37" i="1" s="1"/>
  <c r="F66" i="1"/>
  <c r="H38" i="1"/>
  <c r="J32" i="1"/>
  <c r="H3" i="9"/>
  <c r="H174" i="9" s="1"/>
  <c r="L65" i="4" l="1"/>
  <c r="H25" i="4"/>
  <c r="D25" i="4"/>
  <c r="F25" i="4"/>
  <c r="F96" i="9"/>
  <c r="F94" i="9"/>
  <c r="D95" i="17"/>
  <c r="F96" i="17"/>
  <c r="E74" i="17"/>
  <c r="E79" i="17" s="1"/>
  <c r="E80" i="17" s="1"/>
  <c r="E81" i="17" s="1"/>
  <c r="E87" i="17" s="1"/>
  <c r="F31" i="17"/>
  <c r="M95" i="17"/>
  <c r="D95" i="18"/>
  <c r="K93" i="17"/>
  <c r="R93" i="17"/>
  <c r="J93" i="17"/>
  <c r="M97" i="18"/>
  <c r="M102" i="18" s="1"/>
  <c r="M103" i="18" s="1"/>
  <c r="M104" i="18" s="1"/>
  <c r="R95" i="17"/>
  <c r="J95" i="17"/>
  <c r="Q95" i="17"/>
  <c r="I93" i="17"/>
  <c r="Q93" i="17"/>
  <c r="I95" i="17"/>
  <c r="P93" i="17"/>
  <c r="H93" i="17"/>
  <c r="P95" i="17"/>
  <c r="H95" i="17"/>
  <c r="O93" i="17"/>
  <c r="G95" i="17"/>
  <c r="G96" i="17" s="1"/>
  <c r="N96" i="18"/>
  <c r="O95" i="17"/>
  <c r="G93" i="17"/>
  <c r="N93" i="17"/>
  <c r="F93" i="17"/>
  <c r="F94" i="17" s="1"/>
  <c r="N95" i="17"/>
  <c r="D102" i="18"/>
  <c r="D103" i="18" s="1"/>
  <c r="D104" i="18" s="1"/>
  <c r="I76" i="17"/>
  <c r="I99" i="17"/>
  <c r="D74" i="17"/>
  <c r="D79" i="17" s="1"/>
  <c r="D80" i="17" s="1"/>
  <c r="D81" i="17" s="1"/>
  <c r="D87" i="17" s="1"/>
  <c r="G91" i="9"/>
  <c r="G93" i="9"/>
  <c r="G94" i="9" s="1"/>
  <c r="G95" i="9"/>
  <c r="G96" i="9" s="1"/>
  <c r="J76" i="9"/>
  <c r="J99" i="9"/>
  <c r="H86" i="1"/>
  <c r="H88" i="1" s="1"/>
  <c r="F88" i="1" s="1"/>
  <c r="F29" i="17"/>
  <c r="G29" i="17" s="1"/>
  <c r="I117" i="1"/>
  <c r="I108" i="1"/>
  <c r="I114" i="1" s="1"/>
  <c r="D19" i="5"/>
  <c r="G5" i="9"/>
  <c r="D5" i="9"/>
  <c r="C142" i="17"/>
  <c r="G39" i="1"/>
  <c r="H7" i="9" s="1"/>
  <c r="F31" i="1"/>
  <c r="E32" i="17"/>
  <c r="C181" i="17"/>
  <c r="F29" i="9"/>
  <c r="D32" i="17"/>
  <c r="F32" i="17"/>
  <c r="E32" i="18"/>
  <c r="F32" i="18"/>
  <c r="F5" i="9"/>
  <c r="H19" i="7"/>
  <c r="G20" i="7"/>
  <c r="G7" i="9"/>
  <c r="F74" i="17"/>
  <c r="F79" i="17" s="1"/>
  <c r="F80" i="17" s="1"/>
  <c r="F81" i="17" s="1"/>
  <c r="F87" i="17" s="1"/>
  <c r="F7" i="9"/>
  <c r="E5" i="9"/>
  <c r="E6" i="9" s="1"/>
  <c r="O41" i="1"/>
  <c r="G6" i="1" s="1"/>
  <c r="P7" i="18"/>
  <c r="J5" i="18"/>
  <c r="K7" i="18"/>
  <c r="J7" i="18"/>
  <c r="N5" i="18"/>
  <c r="P5" i="18"/>
  <c r="K5" i="18"/>
  <c r="E7" i="18"/>
  <c r="E8" i="18" s="1"/>
  <c r="D5" i="18"/>
  <c r="M7" i="18"/>
  <c r="N7" i="18"/>
  <c r="L5" i="18"/>
  <c r="O5" i="18"/>
  <c r="H5" i="18"/>
  <c r="F5" i="18"/>
  <c r="D7" i="18"/>
  <c r="L7" i="18"/>
  <c r="I5" i="18"/>
  <c r="O7" i="18"/>
  <c r="G5" i="18"/>
  <c r="M5" i="18"/>
  <c r="I7" i="18"/>
  <c r="R7" i="18"/>
  <c r="E5" i="18"/>
  <c r="E6" i="18" s="1"/>
  <c r="G7" i="18"/>
  <c r="Q5" i="18"/>
  <c r="R5" i="18"/>
  <c r="Q7" i="18"/>
  <c r="H7" i="18"/>
  <c r="F7" i="18"/>
  <c r="N41" i="1"/>
  <c r="G5" i="1" s="1"/>
  <c r="R5" i="17"/>
  <c r="O5" i="17"/>
  <c r="P5" i="17"/>
  <c r="Q5" i="17"/>
  <c r="R7" i="17"/>
  <c r="Q7" i="17"/>
  <c r="P7" i="17"/>
  <c r="O7" i="17"/>
  <c r="G7" i="17"/>
  <c r="N5" i="17"/>
  <c r="L7" i="17"/>
  <c r="M7" i="17"/>
  <c r="F5" i="17"/>
  <c r="H5" i="17"/>
  <c r="I7" i="17"/>
  <c r="E5" i="17"/>
  <c r="E6" i="17" s="1"/>
  <c r="L5" i="17"/>
  <c r="I5" i="17"/>
  <c r="J7" i="17"/>
  <c r="E7" i="17"/>
  <c r="E8" i="17" s="1"/>
  <c r="K7" i="17"/>
  <c r="F7" i="17"/>
  <c r="G5" i="17"/>
  <c r="N7" i="17"/>
  <c r="M5" i="17"/>
  <c r="K5" i="17"/>
  <c r="D7" i="17"/>
  <c r="D5" i="17"/>
  <c r="J5" i="17"/>
  <c r="E7" i="9"/>
  <c r="E8" i="9" s="1"/>
  <c r="D7" i="9"/>
  <c r="C142" i="18"/>
  <c r="C181" i="18"/>
  <c r="M41" i="1"/>
  <c r="G4" i="1" s="1"/>
  <c r="H28" i="7"/>
  <c r="G29" i="7"/>
  <c r="G31" i="17"/>
  <c r="D58" i="18"/>
  <c r="D59" i="18" s="1"/>
  <c r="D60" i="18" s="1"/>
  <c r="D66" i="18" s="1"/>
  <c r="E58" i="18"/>
  <c r="E59" i="18" s="1"/>
  <c r="E60" i="18" s="1"/>
  <c r="E62" i="18" s="1"/>
  <c r="D53" i="17"/>
  <c r="F52" i="17"/>
  <c r="G52" i="17" s="1"/>
  <c r="G53" i="17" s="1"/>
  <c r="E53" i="17"/>
  <c r="H73" i="17"/>
  <c r="G74" i="17"/>
  <c r="G79" i="17" s="1"/>
  <c r="G80" i="17" s="1"/>
  <c r="G81" i="17" s="1"/>
  <c r="G83" i="17" s="1"/>
  <c r="H73" i="18"/>
  <c r="G74" i="18"/>
  <c r="G79" i="18" s="1"/>
  <c r="G80" i="18" s="1"/>
  <c r="G81" i="18" s="1"/>
  <c r="G87" i="18" s="1"/>
  <c r="G88" i="18" s="1"/>
  <c r="G31" i="18"/>
  <c r="G52" i="18"/>
  <c r="F53" i="18"/>
  <c r="F58" i="18" s="1"/>
  <c r="F59" i="18" s="1"/>
  <c r="F60" i="18" s="1"/>
  <c r="F62" i="18" s="1"/>
  <c r="E87" i="18"/>
  <c r="E88" i="18" s="1"/>
  <c r="E83" i="18"/>
  <c r="D83" i="18"/>
  <c r="D87" i="18"/>
  <c r="D88" i="18" s="1"/>
  <c r="F83" i="18"/>
  <c r="F87" i="18"/>
  <c r="F88" i="18" s="1"/>
  <c r="G51" i="9"/>
  <c r="G52" i="9" s="1"/>
  <c r="G72" i="9"/>
  <c r="G73" i="9" s="1"/>
  <c r="G25" i="9"/>
  <c r="G48" i="9" s="1"/>
  <c r="G69" i="9" s="1"/>
  <c r="G90" i="9" s="1"/>
  <c r="G173" i="9"/>
  <c r="F17" i="14"/>
  <c r="G17" i="14"/>
  <c r="G38" i="1"/>
  <c r="H5" i="9" s="1"/>
  <c r="H16" i="14"/>
  <c r="I16" i="14" s="1"/>
  <c r="H28" i="6"/>
  <c r="H35" i="6" s="1"/>
  <c r="H37" i="6" s="1"/>
  <c r="F25" i="6"/>
  <c r="F26" i="6"/>
  <c r="E24" i="5" s="1"/>
  <c r="G28" i="6"/>
  <c r="G35" i="6" s="1"/>
  <c r="G37" i="6" s="1"/>
  <c r="I62" i="6"/>
  <c r="I54" i="6"/>
  <c r="I70" i="6"/>
  <c r="H26" i="9"/>
  <c r="H49" i="9" s="1"/>
  <c r="J55" i="9"/>
  <c r="F31" i="9"/>
  <c r="G31" i="9" s="1"/>
  <c r="G29" i="9"/>
  <c r="H30" i="9"/>
  <c r="H2" i="9"/>
  <c r="H39" i="1"/>
  <c r="F32" i="1"/>
  <c r="I3" i="9"/>
  <c r="E83" i="17" l="1"/>
  <c r="D83" i="17"/>
  <c r="G94" i="17"/>
  <c r="N97" i="18"/>
  <c r="N102" i="18" s="1"/>
  <c r="N103" i="18" s="1"/>
  <c r="N104" i="18" s="1"/>
  <c r="N106" i="18" s="1"/>
  <c r="N110" i="18" s="1"/>
  <c r="N111" i="18" s="1"/>
  <c r="O96" i="18"/>
  <c r="G97" i="17"/>
  <c r="G102" i="17" s="1"/>
  <c r="G103" i="17" s="1"/>
  <c r="G104" i="17" s="1"/>
  <c r="G106" i="17" s="1"/>
  <c r="G110" i="17" s="1"/>
  <c r="G111" i="17" s="1"/>
  <c r="L97" i="18"/>
  <c r="L102" i="18" s="1"/>
  <c r="L103" i="18" s="1"/>
  <c r="L104" i="18" s="1"/>
  <c r="L106" i="18" s="1"/>
  <c r="L110" i="18" s="1"/>
  <c r="L111" i="18" s="1"/>
  <c r="K97" i="18"/>
  <c r="K102" i="18" s="1"/>
  <c r="K103" i="18" s="1"/>
  <c r="K104" i="18" s="1"/>
  <c r="K106" i="18" s="1"/>
  <c r="K110" i="18" s="1"/>
  <c r="K111" i="18" s="1"/>
  <c r="E97" i="18"/>
  <c r="E102" i="18" s="1"/>
  <c r="E103" i="18" s="1"/>
  <c r="E104" i="18" s="1"/>
  <c r="E106" i="18" s="1"/>
  <c r="E110" i="18" s="1"/>
  <c r="E111" i="18" s="1"/>
  <c r="F97" i="18"/>
  <c r="F102" i="18" s="1"/>
  <c r="F103" i="18" s="1"/>
  <c r="F104" i="18" s="1"/>
  <c r="F106" i="18" s="1"/>
  <c r="F110" i="18" s="1"/>
  <c r="F111" i="18" s="1"/>
  <c r="J97" i="18"/>
  <c r="J102" i="18" s="1"/>
  <c r="J103" i="18" s="1"/>
  <c r="J104" i="18" s="1"/>
  <c r="J106" i="18" s="1"/>
  <c r="J110" i="18" s="1"/>
  <c r="J111" i="18" s="1"/>
  <c r="I97" i="18"/>
  <c r="I102" i="18" s="1"/>
  <c r="I103" i="18" s="1"/>
  <c r="I104" i="18" s="1"/>
  <c r="I106" i="18" s="1"/>
  <c r="I110" i="18" s="1"/>
  <c r="I111" i="18" s="1"/>
  <c r="H97" i="18"/>
  <c r="H102" i="18" s="1"/>
  <c r="H103" i="18" s="1"/>
  <c r="H104" i="18" s="1"/>
  <c r="H106" i="18" s="1"/>
  <c r="H110" i="18" s="1"/>
  <c r="H111" i="18" s="1"/>
  <c r="G97" i="18"/>
  <c r="G102" i="18" s="1"/>
  <c r="G103" i="18" s="1"/>
  <c r="G104" i="18" s="1"/>
  <c r="G106" i="18" s="1"/>
  <c r="G110" i="18" s="1"/>
  <c r="G111" i="18" s="1"/>
  <c r="H96" i="17"/>
  <c r="H97" i="17" s="1"/>
  <c r="H102" i="17" s="1"/>
  <c r="H103" i="17" s="1"/>
  <c r="H104" i="17" s="1"/>
  <c r="H106" i="17" s="1"/>
  <c r="H110" i="17" s="1"/>
  <c r="H111" i="17" s="1"/>
  <c r="D97" i="17"/>
  <c r="D102" i="17" s="1"/>
  <c r="D103" i="17" s="1"/>
  <c r="D104" i="17" s="1"/>
  <c r="D106" i="17" s="1"/>
  <c r="D110" i="17" s="1"/>
  <c r="D111" i="17" s="1"/>
  <c r="H94" i="17"/>
  <c r="I94" i="17" s="1"/>
  <c r="J94" i="17" s="1"/>
  <c r="K94" i="17" s="1"/>
  <c r="L94" i="17" s="1"/>
  <c r="M94" i="17" s="1"/>
  <c r="N94" i="17" s="1"/>
  <c r="O94" i="17" s="1"/>
  <c r="P94" i="17" s="1"/>
  <c r="Q94" i="17" s="1"/>
  <c r="R94" i="17" s="1"/>
  <c r="E97" i="17"/>
  <c r="E102" i="17" s="1"/>
  <c r="E103" i="17" s="1"/>
  <c r="E104" i="17" s="1"/>
  <c r="E106" i="17" s="1"/>
  <c r="E110" i="17" s="1"/>
  <c r="E111" i="17" s="1"/>
  <c r="F97" i="17"/>
  <c r="F102" i="17" s="1"/>
  <c r="F103" i="17" s="1"/>
  <c r="F104" i="17" s="1"/>
  <c r="F106" i="17" s="1"/>
  <c r="F110" i="17" s="1"/>
  <c r="F111" i="17" s="1"/>
  <c r="D88" i="17"/>
  <c r="E88" i="17"/>
  <c r="F88" i="17"/>
  <c r="M106" i="18"/>
  <c r="M110" i="18" s="1"/>
  <c r="M111" i="18" s="1"/>
  <c r="D106" i="18"/>
  <c r="D110" i="18" s="1"/>
  <c r="D111" i="18" s="1"/>
  <c r="D67" i="18"/>
  <c r="J76" i="17"/>
  <c r="J99" i="17"/>
  <c r="E58" i="17"/>
  <c r="E59" i="17" s="1"/>
  <c r="E60" i="17" s="1"/>
  <c r="E62" i="17" s="1"/>
  <c r="K76" i="9"/>
  <c r="K99" i="9"/>
  <c r="G58" i="17"/>
  <c r="G59" i="17" s="1"/>
  <c r="G60" i="17" s="1"/>
  <c r="G62" i="17" s="1"/>
  <c r="F86" i="1"/>
  <c r="D58" i="17"/>
  <c r="D59" i="17" s="1"/>
  <c r="D60" i="17" s="1"/>
  <c r="D62" i="17" s="1"/>
  <c r="F53" i="17"/>
  <c r="F58" i="17" s="1"/>
  <c r="F59" i="17" s="1"/>
  <c r="F60" i="17" s="1"/>
  <c r="F62" i="17" s="1"/>
  <c r="F6" i="9"/>
  <c r="G6" i="9" s="1"/>
  <c r="H6" i="9" s="1"/>
  <c r="Q205" i="17"/>
  <c r="H7" i="17"/>
  <c r="E9" i="17" s="1"/>
  <c r="F8" i="18"/>
  <c r="F9" i="18" s="1"/>
  <c r="F38" i="1"/>
  <c r="M37" i="1"/>
  <c r="G32" i="17"/>
  <c r="F83" i="17"/>
  <c r="F8" i="17"/>
  <c r="F8" i="9"/>
  <c r="G8" i="9" s="1"/>
  <c r="H8" i="9" s="1"/>
  <c r="I128" i="17"/>
  <c r="R128" i="17"/>
  <c r="I19" i="7"/>
  <c r="H20" i="7"/>
  <c r="H31" i="17"/>
  <c r="E9" i="18"/>
  <c r="F6" i="18"/>
  <c r="G6" i="18" s="1"/>
  <c r="H6" i="18" s="1"/>
  <c r="I6" i="18" s="1"/>
  <c r="J6" i="18" s="1"/>
  <c r="K6" i="18" s="1"/>
  <c r="L6" i="18" s="1"/>
  <c r="M6" i="18" s="1"/>
  <c r="N6" i="18" s="1"/>
  <c r="O6" i="18" s="1"/>
  <c r="P6" i="18" s="1"/>
  <c r="Q6" i="18" s="1"/>
  <c r="R6" i="18" s="1"/>
  <c r="D9" i="18"/>
  <c r="P134" i="18"/>
  <c r="P135" i="18" s="1"/>
  <c r="P136" i="18" s="1"/>
  <c r="G134" i="18"/>
  <c r="G135" i="18" s="1"/>
  <c r="M130" i="18"/>
  <c r="D128" i="18"/>
  <c r="L128" i="18"/>
  <c r="M134" i="18"/>
  <c r="M135" i="18" s="1"/>
  <c r="M136" i="18" s="1"/>
  <c r="P130" i="18"/>
  <c r="H128" i="18"/>
  <c r="M128" i="18"/>
  <c r="O134" i="18"/>
  <c r="O135" i="18" s="1"/>
  <c r="O136" i="18" s="1"/>
  <c r="P128" i="18"/>
  <c r="H134" i="18"/>
  <c r="H135" i="18" s="1"/>
  <c r="H136" i="18" s="1"/>
  <c r="H177" i="18" s="1"/>
  <c r="M205" i="18"/>
  <c r="Q134" i="18"/>
  <c r="Q135" i="18" s="1"/>
  <c r="Q136" i="18" s="1"/>
  <c r="N128" i="18"/>
  <c r="D134" i="18"/>
  <c r="D135" i="18" s="1"/>
  <c r="D136" i="18" s="1"/>
  <c r="D177" i="18" s="1"/>
  <c r="O205" i="18"/>
  <c r="Q205" i="18"/>
  <c r="N205" i="18"/>
  <c r="F128" i="18"/>
  <c r="Q128" i="18"/>
  <c r="N130" i="18"/>
  <c r="F134" i="18"/>
  <c r="F135" i="18" s="1"/>
  <c r="F136" i="18" s="1"/>
  <c r="F177" i="18" s="1"/>
  <c r="L130" i="18"/>
  <c r="Q130" i="18"/>
  <c r="N134" i="18"/>
  <c r="N135" i="18" s="1"/>
  <c r="N136" i="18" s="1"/>
  <c r="R205" i="18"/>
  <c r="L134" i="18"/>
  <c r="L135" i="18" s="1"/>
  <c r="L136" i="18" s="1"/>
  <c r="P205" i="18"/>
  <c r="R134" i="18"/>
  <c r="R135" i="18" s="1"/>
  <c r="R136" i="18" s="1"/>
  <c r="E128" i="18"/>
  <c r="R130" i="18"/>
  <c r="R128" i="18"/>
  <c r="O130" i="18"/>
  <c r="L205" i="18"/>
  <c r="E134" i="18"/>
  <c r="E135" i="18" s="1"/>
  <c r="E136" i="18" s="1"/>
  <c r="E177" i="18" s="1"/>
  <c r="O128" i="18"/>
  <c r="G128" i="18"/>
  <c r="F6" i="17"/>
  <c r="E134" i="9"/>
  <c r="F134" i="9"/>
  <c r="E128" i="9"/>
  <c r="C42" i="4" s="1"/>
  <c r="F128" i="9"/>
  <c r="G134" i="9"/>
  <c r="I28" i="7"/>
  <c r="H29" i="7"/>
  <c r="D62" i="18"/>
  <c r="E66" i="18"/>
  <c r="H52" i="17"/>
  <c r="I52" i="17" s="1"/>
  <c r="G87" i="17"/>
  <c r="I73" i="18"/>
  <c r="H74" i="18"/>
  <c r="H79" i="18" s="1"/>
  <c r="H80" i="18" s="1"/>
  <c r="H81" i="18" s="1"/>
  <c r="H52" i="18"/>
  <c r="G53" i="18"/>
  <c r="G58" i="18" s="1"/>
  <c r="G59" i="18" s="1"/>
  <c r="G60" i="18" s="1"/>
  <c r="G83" i="18"/>
  <c r="G32" i="18"/>
  <c r="H31" i="18"/>
  <c r="F66" i="18"/>
  <c r="I73" i="17"/>
  <c r="H74" i="17"/>
  <c r="H79" i="17" s="1"/>
  <c r="H80" i="17" s="1"/>
  <c r="H81" i="17" s="1"/>
  <c r="G128" i="9"/>
  <c r="H25" i="9"/>
  <c r="H48" i="9" s="1"/>
  <c r="H69" i="9" s="1"/>
  <c r="H173" i="9"/>
  <c r="I26" i="9"/>
  <c r="I49" i="9" s="1"/>
  <c r="I70" i="9" s="1"/>
  <c r="I174" i="9"/>
  <c r="G39" i="6"/>
  <c r="G53" i="6" s="1"/>
  <c r="G72" i="6" s="1"/>
  <c r="G41" i="6"/>
  <c r="G61" i="6" s="1"/>
  <c r="G73" i="6" s="1"/>
  <c r="G40" i="6"/>
  <c r="G69" i="6" s="1"/>
  <c r="G74" i="6" s="1"/>
  <c r="G5" i="3" s="1"/>
  <c r="F28" i="6"/>
  <c r="F35" i="6" s="1"/>
  <c r="F37" i="6" s="1"/>
  <c r="H24" i="5"/>
  <c r="K24" i="5" s="1"/>
  <c r="H39" i="6"/>
  <c r="H53" i="6" s="1"/>
  <c r="H72" i="6" s="1"/>
  <c r="H40" i="6"/>
  <c r="H69" i="6" s="1"/>
  <c r="H74" i="6" s="1"/>
  <c r="H5" i="3" s="1"/>
  <c r="H41" i="6"/>
  <c r="H61" i="6" s="1"/>
  <c r="H73" i="6" s="1"/>
  <c r="F18" i="14"/>
  <c r="G18" i="14"/>
  <c r="H51" i="9"/>
  <c r="H52" i="9" s="1"/>
  <c r="H70" i="9"/>
  <c r="K55" i="9"/>
  <c r="F39" i="1"/>
  <c r="N37" i="1"/>
  <c r="I28" i="9"/>
  <c r="I30" i="9"/>
  <c r="I5" i="9"/>
  <c r="I7" i="9"/>
  <c r="I2" i="9"/>
  <c r="H31" i="9"/>
  <c r="J3" i="9"/>
  <c r="G135" i="9" l="1"/>
  <c r="F135" i="9"/>
  <c r="E135" i="9"/>
  <c r="C34" i="4"/>
  <c r="D128" i="17"/>
  <c r="D42" i="4" s="1"/>
  <c r="L128" i="17"/>
  <c r="P128" i="17"/>
  <c r="Q128" i="17"/>
  <c r="N130" i="17"/>
  <c r="P130" i="17"/>
  <c r="E128" i="17"/>
  <c r="E42" i="4" s="1"/>
  <c r="O130" i="17"/>
  <c r="O205" i="17"/>
  <c r="G128" i="17"/>
  <c r="R130" i="17"/>
  <c r="I96" i="17"/>
  <c r="I97" i="17" s="1"/>
  <c r="I102" i="17" s="1"/>
  <c r="I103" i="17" s="1"/>
  <c r="I104" i="17" s="1"/>
  <c r="I106" i="17" s="1"/>
  <c r="I110" i="17" s="1"/>
  <c r="I111" i="17" s="1"/>
  <c r="O97" i="18"/>
  <c r="O102" i="18" s="1"/>
  <c r="O103" i="18" s="1"/>
  <c r="O104" i="18" s="1"/>
  <c r="O106" i="18" s="1"/>
  <c r="O110" i="18" s="1"/>
  <c r="O111" i="18" s="1"/>
  <c r="P96" i="18"/>
  <c r="P205" i="17"/>
  <c r="E134" i="17"/>
  <c r="D134" i="17"/>
  <c r="F134" i="17"/>
  <c r="F135" i="17" s="1"/>
  <c r="F136" i="17" s="1"/>
  <c r="F177" i="17" s="1"/>
  <c r="G134" i="17"/>
  <c r="G135" i="17" s="1"/>
  <c r="G136" i="17" s="1"/>
  <c r="G177" i="17" s="1"/>
  <c r="H134" i="17"/>
  <c r="H135" i="17" s="1"/>
  <c r="I134" i="17"/>
  <c r="I135" i="17" s="1"/>
  <c r="I136" i="17" s="1"/>
  <c r="I177" i="17" s="1"/>
  <c r="L134" i="17"/>
  <c r="L135" i="17" s="1"/>
  <c r="L136" i="17" s="1"/>
  <c r="L177" i="17" s="1"/>
  <c r="O134" i="17"/>
  <c r="O135" i="17" s="1"/>
  <c r="O136" i="17" s="1"/>
  <c r="O177" i="17" s="1"/>
  <c r="N134" i="17"/>
  <c r="N135" i="17" s="1"/>
  <c r="N136" i="17" s="1"/>
  <c r="N177" i="17" s="1"/>
  <c r="P134" i="17"/>
  <c r="P135" i="17" s="1"/>
  <c r="P136" i="17" s="1"/>
  <c r="P177" i="17" s="1"/>
  <c r="Q134" i="17"/>
  <c r="Q135" i="17" s="1"/>
  <c r="Q136" i="17" s="1"/>
  <c r="Q177" i="17" s="1"/>
  <c r="R134" i="17"/>
  <c r="R135" i="17" s="1"/>
  <c r="R136" i="17" s="1"/>
  <c r="N128" i="17"/>
  <c r="G88" i="17"/>
  <c r="F67" i="18"/>
  <c r="E67" i="18"/>
  <c r="G8" i="18"/>
  <c r="G9" i="18" s="1"/>
  <c r="D9" i="17"/>
  <c r="K76" i="17"/>
  <c r="K99" i="17"/>
  <c r="E66" i="17"/>
  <c r="E67" i="17" s="1"/>
  <c r="H91" i="9"/>
  <c r="H95" i="9"/>
  <c r="H93" i="9"/>
  <c r="H94" i="9" s="1"/>
  <c r="L76" i="9"/>
  <c r="L99" i="9"/>
  <c r="G66" i="17"/>
  <c r="D66" i="17"/>
  <c r="I91" i="9"/>
  <c r="I95" i="9"/>
  <c r="I93" i="9"/>
  <c r="F66" i="17"/>
  <c r="F67" i="17" s="1"/>
  <c r="Q130" i="17"/>
  <c r="F128" i="17"/>
  <c r="H134" i="9"/>
  <c r="H90" i="9"/>
  <c r="N205" i="17"/>
  <c r="H128" i="17"/>
  <c r="O128" i="17"/>
  <c r="R205" i="17"/>
  <c r="G8" i="17"/>
  <c r="H8" i="17" s="1"/>
  <c r="F9" i="17"/>
  <c r="G6" i="17"/>
  <c r="I31" i="17"/>
  <c r="F136" i="9"/>
  <c r="G136" i="9"/>
  <c r="H32" i="17"/>
  <c r="J19" i="7"/>
  <c r="I20" i="7"/>
  <c r="M177" i="18"/>
  <c r="M138" i="18"/>
  <c r="M166" i="18" s="1"/>
  <c r="O177" i="18"/>
  <c r="O138" i="18"/>
  <c r="O166" i="18" s="1"/>
  <c r="L177" i="18"/>
  <c r="L138" i="18"/>
  <c r="L166" i="18" s="1"/>
  <c r="P138" i="18"/>
  <c r="P166" i="18" s="1"/>
  <c r="P177" i="18"/>
  <c r="R138" i="18"/>
  <c r="R166" i="18" s="1"/>
  <c r="R177" i="18"/>
  <c r="Q177" i="18"/>
  <c r="Q138" i="18"/>
  <c r="Q166" i="18" s="1"/>
  <c r="N138" i="18"/>
  <c r="N166" i="18" s="1"/>
  <c r="N177" i="18"/>
  <c r="J28" i="7"/>
  <c r="I29" i="7"/>
  <c r="H53" i="17"/>
  <c r="H58" i="17" s="1"/>
  <c r="H59" i="17" s="1"/>
  <c r="H60" i="17" s="1"/>
  <c r="H62" i="17" s="1"/>
  <c r="I51" i="9"/>
  <c r="I52" i="9" s="1"/>
  <c r="H32" i="18"/>
  <c r="I31" i="18"/>
  <c r="J52" i="17"/>
  <c r="I53" i="17"/>
  <c r="I58" i="17" s="1"/>
  <c r="I59" i="17" s="1"/>
  <c r="I60" i="17" s="1"/>
  <c r="G66" i="18"/>
  <c r="G62" i="18"/>
  <c r="I52" i="18"/>
  <c r="H53" i="18"/>
  <c r="H58" i="18" s="1"/>
  <c r="H59" i="18" s="1"/>
  <c r="H60" i="18" s="1"/>
  <c r="H83" i="18"/>
  <c r="H87" i="18"/>
  <c r="H88" i="18" s="1"/>
  <c r="H83" i="17"/>
  <c r="H87" i="17"/>
  <c r="J73" i="17"/>
  <c r="I74" i="17"/>
  <c r="I79" i="17" s="1"/>
  <c r="I80" i="17" s="1"/>
  <c r="I81" i="17" s="1"/>
  <c r="J73" i="18"/>
  <c r="I74" i="18"/>
  <c r="I79" i="18" s="1"/>
  <c r="I80" i="18" s="1"/>
  <c r="I81" i="18" s="1"/>
  <c r="H128" i="9"/>
  <c r="F42" i="4" s="1"/>
  <c r="I25" i="9"/>
  <c r="I48" i="9" s="1"/>
  <c r="I69" i="9" s="1"/>
  <c r="I90" i="9" s="1"/>
  <c r="I173" i="9"/>
  <c r="J26" i="9"/>
  <c r="J49" i="9" s="1"/>
  <c r="J51" i="9" s="1"/>
  <c r="J174" i="9"/>
  <c r="H18" i="14"/>
  <c r="F19" i="14"/>
  <c r="G19" i="14"/>
  <c r="H4" i="3"/>
  <c r="H75" i="6"/>
  <c r="U25" i="5" s="1"/>
  <c r="F41" i="6"/>
  <c r="F61" i="6" s="1"/>
  <c r="AC50" i="6"/>
  <c r="AC53" i="6" s="1"/>
  <c r="F40" i="6"/>
  <c r="F69" i="6" s="1"/>
  <c r="F39" i="6"/>
  <c r="F53" i="6" s="1"/>
  <c r="G4" i="3"/>
  <c r="G75" i="6"/>
  <c r="T25" i="5" s="1"/>
  <c r="I72" i="9"/>
  <c r="H72" i="9"/>
  <c r="H73" i="9" s="1"/>
  <c r="I8" i="9"/>
  <c r="L55" i="9"/>
  <c r="J28" i="9"/>
  <c r="J30" i="9"/>
  <c r="J5" i="9"/>
  <c r="J7" i="9"/>
  <c r="I6" i="9"/>
  <c r="I31" i="9"/>
  <c r="J2" i="9"/>
  <c r="K3" i="9"/>
  <c r="H135" i="9" l="1"/>
  <c r="F34" i="4"/>
  <c r="D135" i="17"/>
  <c r="D136" i="17" s="1"/>
  <c r="D177" i="17" s="1"/>
  <c r="D34" i="4"/>
  <c r="E135" i="17"/>
  <c r="E136" i="17" s="1"/>
  <c r="E177" i="17" s="1"/>
  <c r="E34" i="4"/>
  <c r="E136" i="9"/>
  <c r="E177" i="9" s="1"/>
  <c r="C35" i="4"/>
  <c r="D35" i="4"/>
  <c r="E35" i="4"/>
  <c r="R138" i="17"/>
  <c r="R166" i="17" s="1"/>
  <c r="P138" i="17"/>
  <c r="P166" i="17" s="1"/>
  <c r="R177" i="17"/>
  <c r="J96" i="17"/>
  <c r="H8" i="18"/>
  <c r="I8" i="18" s="1"/>
  <c r="J8" i="18" s="1"/>
  <c r="J97" i="17"/>
  <c r="J102" i="17" s="1"/>
  <c r="J103" i="17" s="1"/>
  <c r="J104" i="17" s="1"/>
  <c r="J106" i="17" s="1"/>
  <c r="J110" i="17" s="1"/>
  <c r="J111" i="17" s="1"/>
  <c r="K96" i="17"/>
  <c r="P97" i="18"/>
  <c r="P102" i="18" s="1"/>
  <c r="P103" i="18" s="1"/>
  <c r="P104" i="18" s="1"/>
  <c r="P106" i="18" s="1"/>
  <c r="P110" i="18" s="1"/>
  <c r="P111" i="18" s="1"/>
  <c r="Q96" i="18"/>
  <c r="O138" i="17"/>
  <c r="O166" i="17" s="1"/>
  <c r="H88" i="17"/>
  <c r="G67" i="18"/>
  <c r="L76" i="17"/>
  <c r="L99" i="17"/>
  <c r="G67" i="17"/>
  <c r="D67" i="17"/>
  <c r="N138" i="17"/>
  <c r="N166" i="17" s="1"/>
  <c r="M99" i="9"/>
  <c r="M76" i="9"/>
  <c r="I94" i="9"/>
  <c r="H96" i="9"/>
  <c r="G9" i="17"/>
  <c r="Q138" i="17"/>
  <c r="Q166" i="17" s="1"/>
  <c r="H6" i="17"/>
  <c r="J31" i="17"/>
  <c r="J32" i="17" s="1"/>
  <c r="I32" i="17"/>
  <c r="G177" i="9"/>
  <c r="F177" i="9"/>
  <c r="H66" i="17"/>
  <c r="K19" i="7"/>
  <c r="J20" i="7"/>
  <c r="H9" i="17"/>
  <c r="I8" i="17"/>
  <c r="K28" i="7"/>
  <c r="J29" i="7"/>
  <c r="J70" i="9"/>
  <c r="J9" i="18"/>
  <c r="K8" i="18"/>
  <c r="I87" i="18"/>
  <c r="I88" i="18" s="1"/>
  <c r="I83" i="18"/>
  <c r="I62" i="17"/>
  <c r="I66" i="17"/>
  <c r="I87" i="17"/>
  <c r="I83" i="17"/>
  <c r="K52" i="17"/>
  <c r="J53" i="17"/>
  <c r="J58" i="17" s="1"/>
  <c r="J59" i="17" s="1"/>
  <c r="J60" i="17" s="1"/>
  <c r="K73" i="17"/>
  <c r="J74" i="17"/>
  <c r="J79" i="17" s="1"/>
  <c r="J80" i="17" s="1"/>
  <c r="J81" i="17" s="1"/>
  <c r="J52" i="18"/>
  <c r="I53" i="18"/>
  <c r="I58" i="18" s="1"/>
  <c r="I59" i="18" s="1"/>
  <c r="I60" i="18" s="1"/>
  <c r="I32" i="18"/>
  <c r="J31" i="18"/>
  <c r="H66" i="18"/>
  <c r="H62" i="18"/>
  <c r="K73" i="18"/>
  <c r="J74" i="18"/>
  <c r="J79" i="18" s="1"/>
  <c r="J80" i="18" s="1"/>
  <c r="J81" i="18" s="1"/>
  <c r="I187" i="9"/>
  <c r="K26" i="9"/>
  <c r="K49" i="9" s="1"/>
  <c r="K70" i="9" s="1"/>
  <c r="K174" i="9"/>
  <c r="J25" i="9"/>
  <c r="J48" i="9" s="1"/>
  <c r="J69" i="9" s="1"/>
  <c r="J90" i="9" s="1"/>
  <c r="J173" i="9"/>
  <c r="I53" i="6"/>
  <c r="F72" i="6"/>
  <c r="I69" i="6"/>
  <c r="F74" i="6"/>
  <c r="F20" i="14"/>
  <c r="G20" i="14"/>
  <c r="I61" i="6"/>
  <c r="F73" i="6"/>
  <c r="I73" i="6" s="1"/>
  <c r="H19" i="14"/>
  <c r="J8" i="9"/>
  <c r="I148" i="9"/>
  <c r="I73" i="9"/>
  <c r="M55" i="9"/>
  <c r="J52" i="9"/>
  <c r="J6" i="9"/>
  <c r="K28" i="9"/>
  <c r="K30" i="9"/>
  <c r="K7" i="9"/>
  <c r="K5" i="9"/>
  <c r="K2" i="9"/>
  <c r="J31" i="9"/>
  <c r="L3" i="9"/>
  <c r="H136" i="9" l="1"/>
  <c r="H177" i="9" s="1"/>
  <c r="F35" i="4"/>
  <c r="I9" i="18"/>
  <c r="Q97" i="18"/>
  <c r="Q102" i="18" s="1"/>
  <c r="Q103" i="18" s="1"/>
  <c r="Q104" i="18" s="1"/>
  <c r="Q106" i="18" s="1"/>
  <c r="Q110" i="18" s="1"/>
  <c r="Q111" i="18" s="1"/>
  <c r="R96" i="18"/>
  <c r="R97" i="18" s="1"/>
  <c r="R102" i="18" s="1"/>
  <c r="R103" i="18" s="1"/>
  <c r="R104" i="18" s="1"/>
  <c r="R106" i="18" s="1"/>
  <c r="R110" i="18" s="1"/>
  <c r="R111" i="18" s="1"/>
  <c r="K97" i="17"/>
  <c r="K102" i="17" s="1"/>
  <c r="K103" i="17" s="1"/>
  <c r="K104" i="17" s="1"/>
  <c r="K106" i="17" s="1"/>
  <c r="K110" i="17" s="1"/>
  <c r="K111" i="17" s="1"/>
  <c r="L96" i="17"/>
  <c r="F13" i="4"/>
  <c r="G65" i="4"/>
  <c r="D56" i="4"/>
  <c r="D65" i="4"/>
  <c r="D55" i="4"/>
  <c r="F65" i="4"/>
  <c r="E65" i="4"/>
  <c r="F56" i="4"/>
  <c r="E56" i="4"/>
  <c r="H9" i="18"/>
  <c r="I88" i="17"/>
  <c r="H67" i="18"/>
  <c r="M76" i="17"/>
  <c r="M99" i="17"/>
  <c r="K31" i="17"/>
  <c r="K32" i="17" s="1"/>
  <c r="K91" i="9"/>
  <c r="K95" i="9"/>
  <c r="K93" i="9"/>
  <c r="I96" i="9"/>
  <c r="G56" i="4" s="1"/>
  <c r="D13" i="4"/>
  <c r="N99" i="9"/>
  <c r="N76" i="9"/>
  <c r="J93" i="9"/>
  <c r="J94" i="9" s="1"/>
  <c r="H65" i="4" s="1"/>
  <c r="J95" i="9"/>
  <c r="E13" i="4"/>
  <c r="J91" i="9"/>
  <c r="H55" i="4"/>
  <c r="G55" i="4"/>
  <c r="D54" i="4"/>
  <c r="E54" i="4"/>
  <c r="F54" i="4"/>
  <c r="G54" i="4"/>
  <c r="E55" i="4"/>
  <c r="H54" i="4"/>
  <c r="F55" i="4"/>
  <c r="I67" i="17"/>
  <c r="H67" i="17"/>
  <c r="I6" i="17"/>
  <c r="J72" i="9"/>
  <c r="J73" i="9" s="1"/>
  <c r="L19" i="7"/>
  <c r="K20" i="7"/>
  <c r="J8" i="17"/>
  <c r="I9" i="17"/>
  <c r="L28" i="7"/>
  <c r="K29" i="7"/>
  <c r="L52" i="17"/>
  <c r="K53" i="17"/>
  <c r="K58" i="17" s="1"/>
  <c r="K59" i="17" s="1"/>
  <c r="K60" i="17" s="1"/>
  <c r="L73" i="18"/>
  <c r="K74" i="18"/>
  <c r="K79" i="18" s="1"/>
  <c r="K80" i="18" s="1"/>
  <c r="K81" i="18" s="1"/>
  <c r="K52" i="18"/>
  <c r="J53" i="18"/>
  <c r="J58" i="18" s="1"/>
  <c r="J59" i="18" s="1"/>
  <c r="J60" i="18" s="1"/>
  <c r="J66" i="17"/>
  <c r="J62" i="17"/>
  <c r="J83" i="18"/>
  <c r="J87" i="18"/>
  <c r="J88" i="18" s="1"/>
  <c r="L73" i="17"/>
  <c r="K74" i="17"/>
  <c r="K79" i="17" s="1"/>
  <c r="K80" i="17" s="1"/>
  <c r="K81" i="17" s="1"/>
  <c r="J32" i="18"/>
  <c r="K31" i="18"/>
  <c r="K9" i="18"/>
  <c r="L8" i="18"/>
  <c r="I66" i="18"/>
  <c r="I62" i="18"/>
  <c r="J83" i="17"/>
  <c r="J87" i="17"/>
  <c r="K51" i="9"/>
  <c r="K52" i="9" s="1"/>
  <c r="L26" i="9"/>
  <c r="L49" i="9" s="1"/>
  <c r="L51" i="9" s="1"/>
  <c r="L174" i="9"/>
  <c r="K25" i="9"/>
  <c r="K48" i="9" s="1"/>
  <c r="K69" i="9" s="1"/>
  <c r="K90" i="9" s="1"/>
  <c r="K173" i="9"/>
  <c r="H20" i="14"/>
  <c r="I19" i="14"/>
  <c r="F21" i="14"/>
  <c r="G21" i="14"/>
  <c r="F5" i="3"/>
  <c r="I5" i="3" s="1"/>
  <c r="K84" i="4" s="1"/>
  <c r="I74" i="6"/>
  <c r="F4" i="3"/>
  <c r="I4" i="3" s="1"/>
  <c r="K83" i="4" s="1"/>
  <c r="F75" i="6"/>
  <c r="S25" i="5" s="1"/>
  <c r="I72" i="6"/>
  <c r="K8" i="9"/>
  <c r="K72" i="9"/>
  <c r="K6" i="9"/>
  <c r="N55" i="9"/>
  <c r="O55" i="9" s="1"/>
  <c r="P55" i="9" s="1"/>
  <c r="Q55" i="9" s="1"/>
  <c r="R55" i="9" s="1"/>
  <c r="L28" i="9"/>
  <c r="L30" i="9"/>
  <c r="L5" i="9"/>
  <c r="L7" i="9"/>
  <c r="L2" i="9"/>
  <c r="K31" i="9"/>
  <c r="M3" i="9"/>
  <c r="E66" i="4" l="1"/>
  <c r="L97" i="17"/>
  <c r="L102" i="17" s="1"/>
  <c r="L103" i="17" s="1"/>
  <c r="L104" i="17" s="1"/>
  <c r="L106" i="17" s="1"/>
  <c r="L110" i="17" s="1"/>
  <c r="L111" i="17" s="1"/>
  <c r="M96" i="17"/>
  <c r="K94" i="9"/>
  <c r="I65" i="4" s="1"/>
  <c r="L31" i="17"/>
  <c r="L32" i="17" s="1"/>
  <c r="J88" i="17"/>
  <c r="I67" i="18"/>
  <c r="N76" i="17"/>
  <c r="N99" i="17"/>
  <c r="O76" i="9"/>
  <c r="O99" i="9"/>
  <c r="J96" i="9"/>
  <c r="H56" i="4" s="1"/>
  <c r="I55" i="4"/>
  <c r="I54" i="4"/>
  <c r="J148" i="9"/>
  <c r="J6" i="17"/>
  <c r="J67" i="17"/>
  <c r="J187" i="9"/>
  <c r="L20" i="7"/>
  <c r="M19" i="7"/>
  <c r="J9" i="17"/>
  <c r="K8" i="17"/>
  <c r="M28" i="7"/>
  <c r="L29" i="7"/>
  <c r="I75" i="6"/>
  <c r="K32" i="18"/>
  <c r="L31" i="18"/>
  <c r="K83" i="18"/>
  <c r="K87" i="18"/>
  <c r="K88" i="18" s="1"/>
  <c r="M73" i="18"/>
  <c r="L74" i="18"/>
  <c r="L79" i="18" s="1"/>
  <c r="L80" i="18" s="1"/>
  <c r="L81" i="18" s="1"/>
  <c r="K62" i="17"/>
  <c r="K66" i="17"/>
  <c r="K87" i="17"/>
  <c r="K83" i="17"/>
  <c r="J66" i="18"/>
  <c r="J62" i="18"/>
  <c r="M52" i="17"/>
  <c r="L53" i="17"/>
  <c r="L58" i="17" s="1"/>
  <c r="L59" i="17" s="1"/>
  <c r="L60" i="17" s="1"/>
  <c r="L52" i="18"/>
  <c r="K53" i="18"/>
  <c r="K58" i="18" s="1"/>
  <c r="K59" i="18" s="1"/>
  <c r="K60" i="18" s="1"/>
  <c r="M8" i="18"/>
  <c r="L9" i="18"/>
  <c r="M73" i="17"/>
  <c r="L74" i="17"/>
  <c r="L79" i="17" s="1"/>
  <c r="L80" i="17" s="1"/>
  <c r="L81" i="17" s="1"/>
  <c r="K187" i="9"/>
  <c r="L70" i="9"/>
  <c r="M26" i="9"/>
  <c r="M49" i="9" s="1"/>
  <c r="M70" i="9" s="1"/>
  <c r="M174" i="9"/>
  <c r="L25" i="9"/>
  <c r="L48" i="9" s="1"/>
  <c r="L69" i="9" s="1"/>
  <c r="L90" i="9" s="1"/>
  <c r="L173" i="9"/>
  <c r="V25" i="5"/>
  <c r="F22" i="14"/>
  <c r="D22" i="14"/>
  <c r="G22" i="14" s="1"/>
  <c r="L8" i="9"/>
  <c r="H21" i="14"/>
  <c r="I20" i="14"/>
  <c r="K148" i="9"/>
  <c r="L6" i="9"/>
  <c r="K73" i="9"/>
  <c r="L52" i="9"/>
  <c r="M28" i="9"/>
  <c r="M30" i="9"/>
  <c r="M5" i="9"/>
  <c r="M7" i="9"/>
  <c r="M2" i="9"/>
  <c r="L31" i="9"/>
  <c r="N3" i="9"/>
  <c r="O3" i="9" s="1"/>
  <c r="M97" i="17" l="1"/>
  <c r="M102" i="17" s="1"/>
  <c r="M103" i="17" s="1"/>
  <c r="M104" i="17" s="1"/>
  <c r="M106" i="17" s="1"/>
  <c r="M110" i="17" s="1"/>
  <c r="M111" i="17" s="1"/>
  <c r="N96" i="17"/>
  <c r="M31" i="17"/>
  <c r="K88" i="17"/>
  <c r="J67" i="18"/>
  <c r="O76" i="17"/>
  <c r="O99" i="17"/>
  <c r="P76" i="9"/>
  <c r="P99" i="9"/>
  <c r="M91" i="9"/>
  <c r="M93" i="9"/>
  <c r="M95" i="9"/>
  <c r="K96" i="9"/>
  <c r="I56" i="4" s="1"/>
  <c r="L93" i="9"/>
  <c r="L94" i="9" s="1"/>
  <c r="M94" i="9" s="1"/>
  <c r="L95" i="9"/>
  <c r="L91" i="9"/>
  <c r="K67" i="17"/>
  <c r="K6" i="17"/>
  <c r="O2" i="9"/>
  <c r="P3" i="9"/>
  <c r="O174" i="9"/>
  <c r="O26" i="9"/>
  <c r="O49" i="9" s="1"/>
  <c r="O28" i="9"/>
  <c r="O30" i="9"/>
  <c r="O5" i="9"/>
  <c r="O7" i="9"/>
  <c r="M20" i="7"/>
  <c r="N19" i="7"/>
  <c r="K9" i="17"/>
  <c r="L8" i="17"/>
  <c r="N28" i="7"/>
  <c r="M29" i="7"/>
  <c r="M51" i="9"/>
  <c r="L72" i="9"/>
  <c r="L73" i="9" s="1"/>
  <c r="M32" i="17"/>
  <c r="N31" i="17"/>
  <c r="M53" i="17"/>
  <c r="M58" i="17" s="1"/>
  <c r="M59" i="17" s="1"/>
  <c r="M60" i="17" s="1"/>
  <c r="N52" i="17"/>
  <c r="L53" i="18"/>
  <c r="L58" i="18" s="1"/>
  <c r="L59" i="18" s="1"/>
  <c r="L60" i="18" s="1"/>
  <c r="M52" i="18"/>
  <c r="L87" i="18"/>
  <c r="L88" i="18" s="1"/>
  <c r="L83" i="18"/>
  <c r="M74" i="17"/>
  <c r="M79" i="17" s="1"/>
  <c r="M80" i="17" s="1"/>
  <c r="M81" i="17" s="1"/>
  <c r="N73" i="17"/>
  <c r="M74" i="18"/>
  <c r="M79" i="18" s="1"/>
  <c r="M80" i="18" s="1"/>
  <c r="M81" i="18" s="1"/>
  <c r="N73" i="18"/>
  <c r="K62" i="18"/>
  <c r="K66" i="18"/>
  <c r="L66" i="17"/>
  <c r="L62" i="17"/>
  <c r="L87" i="17"/>
  <c r="L83" i="17"/>
  <c r="L32" i="18"/>
  <c r="M31" i="18"/>
  <c r="M9" i="18"/>
  <c r="N8" i="18"/>
  <c r="L135" i="9"/>
  <c r="L128" i="9"/>
  <c r="M25" i="9"/>
  <c r="M48" i="9" s="1"/>
  <c r="M69" i="9" s="1"/>
  <c r="M90" i="9" s="1"/>
  <c r="M173" i="9"/>
  <c r="N26" i="9"/>
  <c r="N49" i="9" s="1"/>
  <c r="N70" i="9" s="1"/>
  <c r="N174" i="9"/>
  <c r="M8" i="9"/>
  <c r="H22" i="14"/>
  <c r="I21" i="14"/>
  <c r="F23" i="14"/>
  <c r="D23" i="14"/>
  <c r="G23" i="14" s="1"/>
  <c r="M72" i="9"/>
  <c r="M6" i="9"/>
  <c r="N51" i="9"/>
  <c r="L53" i="9" s="1"/>
  <c r="L58" i="9" s="1"/>
  <c r="M52" i="9"/>
  <c r="N28" i="9"/>
  <c r="N30" i="9"/>
  <c r="J32" i="9" s="1"/>
  <c r="N7" i="9"/>
  <c r="L9" i="9" s="1"/>
  <c r="N5" i="9"/>
  <c r="N2" i="9"/>
  <c r="M31" i="9"/>
  <c r="L136" i="9" l="1"/>
  <c r="L177" i="9" s="1"/>
  <c r="J65" i="4"/>
  <c r="K65" i="4"/>
  <c r="N97" i="17"/>
  <c r="N102" i="17" s="1"/>
  <c r="N103" i="17" s="1"/>
  <c r="N104" i="17" s="1"/>
  <c r="N106" i="17" s="1"/>
  <c r="N110" i="17" s="1"/>
  <c r="N111" i="17" s="1"/>
  <c r="O96" i="17"/>
  <c r="L88" i="17"/>
  <c r="K67" i="18"/>
  <c r="P76" i="17"/>
  <c r="P99" i="17"/>
  <c r="N91" i="9"/>
  <c r="N93" i="9"/>
  <c r="N94" i="9" s="1"/>
  <c r="N95" i="9"/>
  <c r="L96" i="9"/>
  <c r="J56" i="4" s="1"/>
  <c r="Q76" i="9"/>
  <c r="Q99" i="9"/>
  <c r="K54" i="4"/>
  <c r="J54" i="4"/>
  <c r="J55" i="4"/>
  <c r="K55" i="4"/>
  <c r="L67" i="17"/>
  <c r="L6" i="17"/>
  <c r="N74" i="17"/>
  <c r="N79" i="17" s="1"/>
  <c r="N80" i="17" s="1"/>
  <c r="N81" i="17" s="1"/>
  <c r="N87" i="17" s="1"/>
  <c r="N88" i="17" s="1"/>
  <c r="O73" i="17"/>
  <c r="O19" i="7"/>
  <c r="N20" i="7"/>
  <c r="N53" i="17"/>
  <c r="N58" i="17" s="1"/>
  <c r="N59" i="17" s="1"/>
  <c r="N60" i="17" s="1"/>
  <c r="N62" i="17" s="1"/>
  <c r="O52" i="17"/>
  <c r="O70" i="9"/>
  <c r="O51" i="9"/>
  <c r="P26" i="9"/>
  <c r="P49" i="9" s="1"/>
  <c r="Q3" i="9"/>
  <c r="P174" i="9"/>
  <c r="P2" i="9"/>
  <c r="P28" i="9"/>
  <c r="P30" i="9"/>
  <c r="P5" i="9"/>
  <c r="P7" i="9"/>
  <c r="O173" i="9"/>
  <c r="O25" i="9"/>
  <c r="O48" i="9" s="1"/>
  <c r="O69" i="9" s="1"/>
  <c r="O90" i="9" s="1"/>
  <c r="L9" i="17"/>
  <c r="M8" i="17"/>
  <c r="N32" i="17"/>
  <c r="O31" i="17"/>
  <c r="O28" i="7"/>
  <c r="N29" i="7"/>
  <c r="N74" i="18"/>
  <c r="N79" i="18" s="1"/>
  <c r="N80" i="18" s="1"/>
  <c r="N81" i="18" s="1"/>
  <c r="N87" i="18" s="1"/>
  <c r="N88" i="18" s="1"/>
  <c r="O73" i="18"/>
  <c r="N9" i="18"/>
  <c r="O8" i="18"/>
  <c r="M134" i="9"/>
  <c r="M135" i="9" s="1"/>
  <c r="M136" i="9" s="1"/>
  <c r="M177" i="9" s="1"/>
  <c r="M83" i="18"/>
  <c r="M87" i="18"/>
  <c r="M88" i="18" s="1"/>
  <c r="M87" i="17"/>
  <c r="M83" i="17"/>
  <c r="N52" i="18"/>
  <c r="M53" i="18"/>
  <c r="M58" i="18" s="1"/>
  <c r="M59" i="18" s="1"/>
  <c r="M60" i="18" s="1"/>
  <c r="L66" i="18"/>
  <c r="L62" i="18"/>
  <c r="M32" i="18"/>
  <c r="N31" i="18"/>
  <c r="M66" i="17"/>
  <c r="M62" i="17"/>
  <c r="M128" i="9"/>
  <c r="L148" i="9"/>
  <c r="C181" i="9"/>
  <c r="C185" i="9"/>
  <c r="L187" i="9"/>
  <c r="M187" i="9"/>
  <c r="N25" i="9"/>
  <c r="N48" i="9" s="1"/>
  <c r="N69" i="9" s="1"/>
  <c r="N90" i="9" s="1"/>
  <c r="N173" i="9"/>
  <c r="L59" i="9"/>
  <c r="L60" i="9" s="1"/>
  <c r="F24" i="14"/>
  <c r="D24" i="14"/>
  <c r="G24" i="14" s="1"/>
  <c r="H23" i="14"/>
  <c r="I22" i="14"/>
  <c r="C146" i="9"/>
  <c r="C142" i="9"/>
  <c r="N6" i="9"/>
  <c r="O6" i="9" s="1"/>
  <c r="N72" i="9"/>
  <c r="F74" i="9" s="1"/>
  <c r="H53" i="9"/>
  <c r="H58" i="9" s="1"/>
  <c r="J53" i="9"/>
  <c r="J58" i="9" s="1"/>
  <c r="M148" i="9"/>
  <c r="I53" i="9"/>
  <c r="I58" i="9" s="1"/>
  <c r="K53" i="9"/>
  <c r="K58" i="9" s="1"/>
  <c r="E53" i="9"/>
  <c r="E58" i="9" s="1"/>
  <c r="D53" i="9"/>
  <c r="D58" i="9" s="1"/>
  <c r="F53" i="9"/>
  <c r="F58" i="9" s="1"/>
  <c r="G53" i="9"/>
  <c r="G58" i="9" s="1"/>
  <c r="H32" i="9"/>
  <c r="M73" i="9"/>
  <c r="E9" i="9"/>
  <c r="F9" i="9"/>
  <c r="G9" i="9"/>
  <c r="D9" i="9"/>
  <c r="M9" i="9"/>
  <c r="N8" i="9"/>
  <c r="L55" i="4" s="1"/>
  <c r="N52" i="9"/>
  <c r="N53" i="9" s="1"/>
  <c r="N58" i="9" s="1"/>
  <c r="M53" i="9"/>
  <c r="M58" i="9" s="1"/>
  <c r="L32" i="9"/>
  <c r="N31" i="9"/>
  <c r="L54" i="4" s="1"/>
  <c r="M32" i="9"/>
  <c r="D32" i="9"/>
  <c r="E32" i="9"/>
  <c r="F32" i="9"/>
  <c r="G32" i="9"/>
  <c r="K32" i="9"/>
  <c r="J9" i="9"/>
  <c r="K9" i="9"/>
  <c r="H9" i="9"/>
  <c r="I9" i="9"/>
  <c r="I32" i="9"/>
  <c r="O97" i="17" l="1"/>
  <c r="O102" i="17" s="1"/>
  <c r="O103" i="17" s="1"/>
  <c r="O104" i="17" s="1"/>
  <c r="O106" i="17" s="1"/>
  <c r="O110" i="17" s="1"/>
  <c r="O111" i="17" s="1"/>
  <c r="P96" i="17"/>
  <c r="M88" i="17"/>
  <c r="L67" i="18"/>
  <c r="Q76" i="17"/>
  <c r="Q99" i="17"/>
  <c r="M67" i="17"/>
  <c r="M96" i="9"/>
  <c r="K56" i="4" s="1"/>
  <c r="O91" i="9"/>
  <c r="O93" i="9"/>
  <c r="O94" i="9" s="1"/>
  <c r="N65" i="4" s="1"/>
  <c r="N66" i="4" s="1"/>
  <c r="O95" i="9"/>
  <c r="R76" i="9"/>
  <c r="R99" i="9"/>
  <c r="N83" i="17"/>
  <c r="N83" i="18"/>
  <c r="M6" i="17"/>
  <c r="N6" i="17" s="1"/>
  <c r="O6" i="17" s="1"/>
  <c r="P6" i="17" s="1"/>
  <c r="Q6" i="17" s="1"/>
  <c r="R6" i="17" s="1"/>
  <c r="N66" i="17"/>
  <c r="P25" i="9"/>
  <c r="P48" i="9" s="1"/>
  <c r="P69" i="9" s="1"/>
  <c r="P90" i="9" s="1"/>
  <c r="P173" i="9"/>
  <c r="Q26" i="9"/>
  <c r="Q49" i="9" s="1"/>
  <c r="R3" i="9"/>
  <c r="Q174" i="9"/>
  <c r="Q2" i="9"/>
  <c r="Q28" i="9"/>
  <c r="Q30" i="9"/>
  <c r="Q5" i="9"/>
  <c r="Q7" i="9"/>
  <c r="P51" i="9"/>
  <c r="P70" i="9"/>
  <c r="O52" i="9"/>
  <c r="O72" i="9"/>
  <c r="P6" i="9"/>
  <c r="O53" i="17"/>
  <c r="O58" i="17" s="1"/>
  <c r="O59" i="17" s="1"/>
  <c r="O60" i="17" s="1"/>
  <c r="P52" i="17"/>
  <c r="O20" i="7"/>
  <c r="P19" i="7"/>
  <c r="P20" i="7" s="1"/>
  <c r="P73" i="17"/>
  <c r="O74" i="17"/>
  <c r="O79" i="17" s="1"/>
  <c r="O80" i="17" s="1"/>
  <c r="O81" i="17" s="1"/>
  <c r="N8" i="17"/>
  <c r="M9" i="17"/>
  <c r="O32" i="17"/>
  <c r="P31" i="17"/>
  <c r="N32" i="9"/>
  <c r="O31" i="9"/>
  <c r="N54" i="4" s="1"/>
  <c r="N9" i="9"/>
  <c r="O8" i="9"/>
  <c r="N55" i="4" s="1"/>
  <c r="P28" i="7"/>
  <c r="P29" i="7" s="1"/>
  <c r="O29" i="7"/>
  <c r="N53" i="18"/>
  <c r="N58" i="18" s="1"/>
  <c r="N59" i="18" s="1"/>
  <c r="N60" i="18" s="1"/>
  <c r="N62" i="18" s="1"/>
  <c r="O52" i="18"/>
  <c r="O9" i="18"/>
  <c r="P8" i="18"/>
  <c r="N32" i="18"/>
  <c r="O31" i="18"/>
  <c r="P73" i="18"/>
  <c r="O74" i="18"/>
  <c r="O79" i="18" s="1"/>
  <c r="O80" i="18" s="1"/>
  <c r="O81" i="18" s="1"/>
  <c r="M62" i="18"/>
  <c r="M66" i="18"/>
  <c r="N128" i="9"/>
  <c r="F79" i="9"/>
  <c r="F80" i="9" s="1"/>
  <c r="F81" i="9" s="1"/>
  <c r="N187" i="9"/>
  <c r="C180" i="9"/>
  <c r="N134" i="9"/>
  <c r="N135" i="9" s="1"/>
  <c r="L62" i="9"/>
  <c r="L66" i="9"/>
  <c r="G59" i="9"/>
  <c r="G60" i="9" s="1"/>
  <c r="M59" i="9"/>
  <c r="M60" i="9" s="1"/>
  <c r="D59" i="9"/>
  <c r="D60" i="9" s="1"/>
  <c r="K59" i="9"/>
  <c r="K60" i="9" s="1"/>
  <c r="I59" i="9"/>
  <c r="I60" i="9" s="1"/>
  <c r="N59" i="9"/>
  <c r="N60" i="9" s="1"/>
  <c r="J59" i="9"/>
  <c r="J60" i="9" s="1"/>
  <c r="H59" i="9"/>
  <c r="H60" i="9" s="1"/>
  <c r="F59" i="9"/>
  <c r="F60" i="9" s="1"/>
  <c r="E59" i="9"/>
  <c r="E60" i="9" s="1"/>
  <c r="H24" i="14"/>
  <c r="I23" i="14"/>
  <c r="D25" i="14"/>
  <c r="G25" i="14" s="1"/>
  <c r="F25" i="14"/>
  <c r="D74" i="9"/>
  <c r="E74" i="9"/>
  <c r="L74" i="9"/>
  <c r="N148" i="9"/>
  <c r="C141" i="9"/>
  <c r="K74" i="9"/>
  <c r="J74" i="9"/>
  <c r="G74" i="9"/>
  <c r="I74" i="9"/>
  <c r="H74" i="9"/>
  <c r="N73" i="9"/>
  <c r="M74" i="9"/>
  <c r="P97" i="17" l="1"/>
  <c r="P102" i="17" s="1"/>
  <c r="P103" i="17" s="1"/>
  <c r="P104" i="17" s="1"/>
  <c r="P106" i="17" s="1"/>
  <c r="P110" i="17" s="1"/>
  <c r="P111" i="17" s="1"/>
  <c r="Q96" i="17"/>
  <c r="N74" i="9"/>
  <c r="M67" i="18"/>
  <c r="R76" i="17"/>
  <c r="R99" i="17"/>
  <c r="N67" i="17"/>
  <c r="P91" i="9"/>
  <c r="P95" i="9"/>
  <c r="P93" i="9"/>
  <c r="P94" i="9"/>
  <c r="N96" i="9"/>
  <c r="L56" i="4" s="1"/>
  <c r="N66" i="18"/>
  <c r="Q6" i="9"/>
  <c r="L67" i="9"/>
  <c r="J7" i="4"/>
  <c r="N136" i="9"/>
  <c r="O53" i="9"/>
  <c r="O58" i="9" s="1"/>
  <c r="O59" i="9" s="1"/>
  <c r="O60" i="9" s="1"/>
  <c r="P52" i="9"/>
  <c r="P72" i="9"/>
  <c r="O83" i="17"/>
  <c r="O87" i="17"/>
  <c r="O88" i="17" s="1"/>
  <c r="O73" i="9"/>
  <c r="P74" i="17"/>
  <c r="P79" i="17" s="1"/>
  <c r="P80" i="17" s="1"/>
  <c r="P81" i="17" s="1"/>
  <c r="Q73" i="17"/>
  <c r="O148" i="9"/>
  <c r="Q25" i="9"/>
  <c r="Q48" i="9" s="1"/>
  <c r="Q69" i="9" s="1"/>
  <c r="Q90" i="9" s="1"/>
  <c r="Q173" i="9"/>
  <c r="O187" i="9"/>
  <c r="P53" i="17"/>
  <c r="P58" i="17" s="1"/>
  <c r="P59" i="17" s="1"/>
  <c r="P60" i="17" s="1"/>
  <c r="Q52" i="17"/>
  <c r="R2" i="9"/>
  <c r="R174" i="9"/>
  <c r="R26" i="9"/>
  <c r="R49" i="9" s="1"/>
  <c r="R28" i="9"/>
  <c r="R30" i="9"/>
  <c r="R7" i="9"/>
  <c r="R5" i="9"/>
  <c r="Q70" i="9"/>
  <c r="Q51" i="9"/>
  <c r="O62" i="17"/>
  <c r="O66" i="17"/>
  <c r="P128" i="9"/>
  <c r="P134" i="9"/>
  <c r="P135" i="9" s="1"/>
  <c r="P136" i="9" s="1"/>
  <c r="P130" i="9"/>
  <c r="P205" i="9"/>
  <c r="N9" i="17"/>
  <c r="O8" i="17"/>
  <c r="P32" i="17"/>
  <c r="Q31" i="17"/>
  <c r="O32" i="9"/>
  <c r="P31" i="9"/>
  <c r="O9" i="9"/>
  <c r="P8" i="9"/>
  <c r="O32" i="18"/>
  <c r="P31" i="18"/>
  <c r="O87" i="18"/>
  <c r="O88" i="18" s="1"/>
  <c r="O83" i="18"/>
  <c r="P9" i="18"/>
  <c r="Q8" i="18"/>
  <c r="O53" i="18"/>
  <c r="O58" i="18" s="1"/>
  <c r="O59" i="18" s="1"/>
  <c r="O60" i="18" s="1"/>
  <c r="P52" i="18"/>
  <c r="P74" i="18"/>
  <c r="P79" i="18" s="1"/>
  <c r="P80" i="18" s="1"/>
  <c r="P81" i="18" s="1"/>
  <c r="Q73" i="18"/>
  <c r="F83" i="9"/>
  <c r="F87" i="9"/>
  <c r="J79" i="9"/>
  <c r="J80" i="9" s="1"/>
  <c r="J81" i="9" s="1"/>
  <c r="E79" i="9"/>
  <c r="E80" i="9" s="1"/>
  <c r="E81" i="9" s="1"/>
  <c r="L79" i="9"/>
  <c r="L80" i="9" s="1"/>
  <c r="L81" i="9" s="1"/>
  <c r="D79" i="9"/>
  <c r="D80" i="9" s="1"/>
  <c r="D81" i="9" s="1"/>
  <c r="K79" i="9"/>
  <c r="K80" i="9" s="1"/>
  <c r="K81" i="9" s="1"/>
  <c r="N79" i="9"/>
  <c r="N80" i="9" s="1"/>
  <c r="N81" i="9" s="1"/>
  <c r="H79" i="9"/>
  <c r="H80" i="9" s="1"/>
  <c r="H81" i="9" s="1"/>
  <c r="I79" i="9"/>
  <c r="I80" i="9" s="1"/>
  <c r="I81" i="9" s="1"/>
  <c r="M79" i="9"/>
  <c r="M80" i="9" s="1"/>
  <c r="M81" i="9" s="1"/>
  <c r="G79" i="9"/>
  <c r="G80" i="9" s="1"/>
  <c r="G81" i="9" s="1"/>
  <c r="F62" i="9"/>
  <c r="F66" i="9"/>
  <c r="N66" i="9"/>
  <c r="N62" i="9"/>
  <c r="E62" i="9"/>
  <c r="E66" i="9"/>
  <c r="H66" i="9"/>
  <c r="H62" i="9"/>
  <c r="K66" i="9"/>
  <c r="K62" i="9"/>
  <c r="D66" i="9"/>
  <c r="D62" i="9"/>
  <c r="J66" i="9"/>
  <c r="J62" i="9"/>
  <c r="I66" i="9"/>
  <c r="I62" i="9"/>
  <c r="M62" i="9"/>
  <c r="M66" i="9"/>
  <c r="G66" i="9"/>
  <c r="G62" i="9"/>
  <c r="F26" i="14"/>
  <c r="D26" i="14"/>
  <c r="G26" i="14" s="1"/>
  <c r="H25" i="14"/>
  <c r="I24" i="14"/>
  <c r="Q97" i="17" l="1"/>
  <c r="Q102" i="17" s="1"/>
  <c r="Q103" i="17" s="1"/>
  <c r="Q104" i="17" s="1"/>
  <c r="Q106" i="17" s="1"/>
  <c r="Q110" i="17" s="1"/>
  <c r="Q111" i="17" s="1"/>
  <c r="R96" i="17"/>
  <c r="R97" i="17" s="1"/>
  <c r="R102" i="17" s="1"/>
  <c r="R103" i="17" s="1"/>
  <c r="R104" i="17" s="1"/>
  <c r="R106" i="17" s="1"/>
  <c r="R110" i="17" s="1"/>
  <c r="R111" i="17" s="1"/>
  <c r="F88" i="9"/>
  <c r="D8" i="4"/>
  <c r="N67" i="18"/>
  <c r="O67" i="17"/>
  <c r="E67" i="9"/>
  <c r="D67" i="9"/>
  <c r="O96" i="9"/>
  <c r="N56" i="4" s="1"/>
  <c r="R6" i="9"/>
  <c r="Q91" i="9"/>
  <c r="Q95" i="9"/>
  <c r="Q93" i="9"/>
  <c r="Q94" i="9" s="1"/>
  <c r="N67" i="9"/>
  <c r="L7" i="4"/>
  <c r="F67" i="9"/>
  <c r="D7" i="4"/>
  <c r="J67" i="9"/>
  <c r="H7" i="4"/>
  <c r="G67" i="9"/>
  <c r="E7" i="4"/>
  <c r="M67" i="9"/>
  <c r="K7" i="4"/>
  <c r="I67" i="9"/>
  <c r="G7" i="4"/>
  <c r="H67" i="9"/>
  <c r="F7" i="4"/>
  <c r="K67" i="9"/>
  <c r="I7" i="4"/>
  <c r="N177" i="9"/>
  <c r="R25" i="9"/>
  <c r="R48" i="9" s="1"/>
  <c r="R69" i="9" s="1"/>
  <c r="R90" i="9" s="1"/>
  <c r="R173" i="9"/>
  <c r="P62" i="17"/>
  <c r="P66" i="17"/>
  <c r="Q130" i="9"/>
  <c r="Q128" i="9"/>
  <c r="Q205" i="9"/>
  <c r="Q134" i="9"/>
  <c r="Q135" i="9" s="1"/>
  <c r="Q136" i="9" s="1"/>
  <c r="Q72" i="9"/>
  <c r="R73" i="17"/>
  <c r="R74" i="17" s="1"/>
  <c r="R79" i="17" s="1"/>
  <c r="R80" i="17" s="1"/>
  <c r="R81" i="17" s="1"/>
  <c r="Q74" i="17"/>
  <c r="Q79" i="17" s="1"/>
  <c r="Q80" i="17" s="1"/>
  <c r="Q81" i="17" s="1"/>
  <c r="P83" i="17"/>
  <c r="P87" i="17"/>
  <c r="P88" i="17" s="1"/>
  <c r="P73" i="9"/>
  <c r="O74" i="9"/>
  <c r="O79" i="9" s="1"/>
  <c r="O80" i="9" s="1"/>
  <c r="O81" i="9" s="1"/>
  <c r="R52" i="17"/>
  <c r="R53" i="17" s="1"/>
  <c r="R58" i="17" s="1"/>
  <c r="R59" i="17" s="1"/>
  <c r="R60" i="17" s="1"/>
  <c r="Q53" i="17"/>
  <c r="Q58" i="17" s="1"/>
  <c r="Q59" i="17" s="1"/>
  <c r="Q60" i="17" s="1"/>
  <c r="P138" i="9"/>
  <c r="P166" i="9" s="1"/>
  <c r="P177" i="9"/>
  <c r="P187" i="9"/>
  <c r="R70" i="9"/>
  <c r="R51" i="9"/>
  <c r="Q52" i="9"/>
  <c r="P53" i="9"/>
  <c r="P58" i="9" s="1"/>
  <c r="P59" i="9" s="1"/>
  <c r="P60" i="9" s="1"/>
  <c r="P148" i="9"/>
  <c r="O62" i="9"/>
  <c r="O66" i="9"/>
  <c r="O9" i="17"/>
  <c r="P8" i="17"/>
  <c r="Q32" i="17"/>
  <c r="R31" i="17"/>
  <c r="R32" i="17" s="1"/>
  <c r="P32" i="9"/>
  <c r="Q31" i="9"/>
  <c r="P9" i="9"/>
  <c r="Q8" i="9"/>
  <c r="Q52" i="18"/>
  <c r="P53" i="18"/>
  <c r="P58" i="18" s="1"/>
  <c r="P59" i="18" s="1"/>
  <c r="P60" i="18" s="1"/>
  <c r="P87" i="18"/>
  <c r="P88" i="18" s="1"/>
  <c r="P83" i="18"/>
  <c r="O66" i="18"/>
  <c r="O62" i="18"/>
  <c r="P32" i="18"/>
  <c r="Q31" i="18"/>
  <c r="R73" i="18"/>
  <c r="R74" i="18" s="1"/>
  <c r="R79" i="18" s="1"/>
  <c r="R80" i="18" s="1"/>
  <c r="R81" i="18" s="1"/>
  <c r="Q74" i="18"/>
  <c r="Q79" i="18" s="1"/>
  <c r="Q80" i="18" s="1"/>
  <c r="Q81" i="18" s="1"/>
  <c r="Q9" i="18"/>
  <c r="R8" i="18"/>
  <c r="R9" i="18" s="1"/>
  <c r="G83" i="9"/>
  <c r="G87" i="9"/>
  <c r="N83" i="9"/>
  <c r="N87" i="9"/>
  <c r="M87" i="9"/>
  <c r="M83" i="9"/>
  <c r="L87" i="9"/>
  <c r="L83" i="9"/>
  <c r="I87" i="9"/>
  <c r="I83" i="9"/>
  <c r="K87" i="9"/>
  <c r="K83" i="9"/>
  <c r="E87" i="9"/>
  <c r="E88" i="9" s="1"/>
  <c r="E83" i="9"/>
  <c r="H83" i="9"/>
  <c r="H87" i="9"/>
  <c r="D83" i="9"/>
  <c r="D87" i="9"/>
  <c r="D88" i="9" s="1"/>
  <c r="J87" i="9"/>
  <c r="J83" i="9"/>
  <c r="H26" i="14"/>
  <c r="I25" i="14"/>
  <c r="F27" i="14"/>
  <c r="D27" i="14"/>
  <c r="G27" i="14" s="1"/>
  <c r="N88" i="9" l="1"/>
  <c r="L8" i="4"/>
  <c r="H88" i="9"/>
  <c r="F8" i="4"/>
  <c r="J88" i="9"/>
  <c r="H8" i="4"/>
  <c r="K88" i="9"/>
  <c r="I8" i="4"/>
  <c r="I88" i="9"/>
  <c r="I134" i="9" s="1"/>
  <c r="G8" i="4"/>
  <c r="G88" i="9"/>
  <c r="E8" i="4"/>
  <c r="L88" i="9"/>
  <c r="J8" i="4"/>
  <c r="M88" i="9"/>
  <c r="K8" i="4"/>
  <c r="O67" i="18"/>
  <c r="P67" i="17"/>
  <c r="R91" i="9"/>
  <c r="R93" i="9"/>
  <c r="R94" i="9" s="1"/>
  <c r="R95" i="9"/>
  <c r="P96" i="9"/>
  <c r="O97" i="9"/>
  <c r="O102" i="9" s="1"/>
  <c r="O103" i="9" s="1"/>
  <c r="O104" i="9" s="1"/>
  <c r="O67" i="9"/>
  <c r="N7" i="4"/>
  <c r="Q187" i="9"/>
  <c r="O83" i="9"/>
  <c r="O87" i="9"/>
  <c r="Q177" i="9"/>
  <c r="Q138" i="9"/>
  <c r="Q166" i="9" s="1"/>
  <c r="Q83" i="17"/>
  <c r="Q87" i="17"/>
  <c r="Q88" i="17" s="1"/>
  <c r="Q62" i="17"/>
  <c r="Q66" i="17"/>
  <c r="Q148" i="9"/>
  <c r="R83" i="17"/>
  <c r="R87" i="17"/>
  <c r="R88" i="17" s="1"/>
  <c r="R52" i="9"/>
  <c r="R53" i="9" s="1"/>
  <c r="R58" i="9" s="1"/>
  <c r="R59" i="9" s="1"/>
  <c r="R60" i="9" s="1"/>
  <c r="Q53" i="9"/>
  <c r="Q58" i="9" s="1"/>
  <c r="Q59" i="9" s="1"/>
  <c r="Q60" i="9" s="1"/>
  <c r="R62" i="17"/>
  <c r="R66" i="17"/>
  <c r="P62" i="9"/>
  <c r="P66" i="9"/>
  <c r="R72" i="9"/>
  <c r="Q73" i="9"/>
  <c r="P74" i="9"/>
  <c r="P79" i="9" s="1"/>
  <c r="P80" i="9" s="1"/>
  <c r="P81" i="9" s="1"/>
  <c r="R134" i="9"/>
  <c r="R135" i="9" s="1"/>
  <c r="R136" i="9" s="1"/>
  <c r="R128" i="9"/>
  <c r="R130" i="9"/>
  <c r="R205" i="9"/>
  <c r="P9" i="17"/>
  <c r="Q8" i="17"/>
  <c r="Q32" i="9"/>
  <c r="R31" i="9"/>
  <c r="R32" i="9" s="1"/>
  <c r="Q9" i="9"/>
  <c r="R8" i="9"/>
  <c r="R9" i="9" s="1"/>
  <c r="Q87" i="18"/>
  <c r="Q88" i="18" s="1"/>
  <c r="Q83" i="18"/>
  <c r="Q32" i="18"/>
  <c r="R31" i="18"/>
  <c r="R32" i="18" s="1"/>
  <c r="R87" i="18"/>
  <c r="R88" i="18" s="1"/>
  <c r="R83" i="18"/>
  <c r="P66" i="18"/>
  <c r="P62" i="18"/>
  <c r="R52" i="18"/>
  <c r="R53" i="18" s="1"/>
  <c r="R58" i="18" s="1"/>
  <c r="R59" i="18" s="1"/>
  <c r="R60" i="18" s="1"/>
  <c r="Q53" i="18"/>
  <c r="Q58" i="18" s="1"/>
  <c r="Q59" i="18" s="1"/>
  <c r="Q60" i="18" s="1"/>
  <c r="F28" i="14"/>
  <c r="D28" i="14"/>
  <c r="G28" i="14" s="1"/>
  <c r="H27" i="14"/>
  <c r="I26" i="14"/>
  <c r="I135" i="9" l="1"/>
  <c r="G34" i="4"/>
  <c r="O88" i="9"/>
  <c r="N8" i="4"/>
  <c r="P67" i="18"/>
  <c r="Q67" i="17"/>
  <c r="R67" i="17"/>
  <c r="P67" i="9"/>
  <c r="D97" i="9"/>
  <c r="D102" i="9" s="1"/>
  <c r="D103" i="9" s="1"/>
  <c r="D104" i="9" s="1"/>
  <c r="D106" i="9" s="1"/>
  <c r="D110" i="9" s="1"/>
  <c r="D111" i="9" s="1"/>
  <c r="E97" i="9"/>
  <c r="E102" i="9" s="1"/>
  <c r="E103" i="9" s="1"/>
  <c r="E104" i="9" s="1"/>
  <c r="E106" i="9" s="1"/>
  <c r="E110" i="9" s="1"/>
  <c r="E111" i="9" s="1"/>
  <c r="F97" i="9"/>
  <c r="F102" i="9" s="1"/>
  <c r="F103" i="9" s="1"/>
  <c r="F104" i="9" s="1"/>
  <c r="F106" i="9" s="1"/>
  <c r="F110" i="9" s="1"/>
  <c r="D9" i="4" s="1"/>
  <c r="G97" i="9"/>
  <c r="G102" i="9" s="1"/>
  <c r="G103" i="9" s="1"/>
  <c r="G104" i="9" s="1"/>
  <c r="G106" i="9" s="1"/>
  <c r="G110" i="9" s="1"/>
  <c r="Q96" i="9"/>
  <c r="P97" i="9"/>
  <c r="P102" i="9" s="1"/>
  <c r="P103" i="9" s="1"/>
  <c r="P104" i="9" s="1"/>
  <c r="M97" i="9"/>
  <c r="M102" i="9" s="1"/>
  <c r="M103" i="9" s="1"/>
  <c r="M104" i="9" s="1"/>
  <c r="M106" i="9" s="1"/>
  <c r="M110" i="9" s="1"/>
  <c r="L97" i="9"/>
  <c r="L102" i="9" s="1"/>
  <c r="L103" i="9" s="1"/>
  <c r="L104" i="9" s="1"/>
  <c r="L106" i="9" s="1"/>
  <c r="L110" i="9" s="1"/>
  <c r="K97" i="9"/>
  <c r="K102" i="9" s="1"/>
  <c r="K103" i="9" s="1"/>
  <c r="K104" i="9" s="1"/>
  <c r="J97" i="9"/>
  <c r="J102" i="9" s="1"/>
  <c r="J103" i="9" s="1"/>
  <c r="J104" i="9" s="1"/>
  <c r="J106" i="9" s="1"/>
  <c r="J110" i="9" s="1"/>
  <c r="O106" i="9"/>
  <c r="O110" i="9" s="1"/>
  <c r="I97" i="9"/>
  <c r="I102" i="9" s="1"/>
  <c r="I103" i="9" s="1"/>
  <c r="I104" i="9" s="1"/>
  <c r="I106" i="9" s="1"/>
  <c r="I110" i="9" s="1"/>
  <c r="N97" i="9"/>
  <c r="N102" i="9" s="1"/>
  <c r="N103" i="9" s="1"/>
  <c r="N104" i="9" s="1"/>
  <c r="N106" i="9" s="1"/>
  <c r="N110" i="9" s="1"/>
  <c r="H97" i="9"/>
  <c r="H102" i="9" s="1"/>
  <c r="H103" i="9" s="1"/>
  <c r="H104" i="9" s="1"/>
  <c r="H106" i="9" s="1"/>
  <c r="H110" i="9" s="1"/>
  <c r="R148" i="9"/>
  <c r="R62" i="9"/>
  <c r="R66" i="9"/>
  <c r="R187" i="9"/>
  <c r="R138" i="9"/>
  <c r="R166" i="9" s="1"/>
  <c r="R177" i="9"/>
  <c r="Q62" i="9"/>
  <c r="Q66" i="9"/>
  <c r="P83" i="9"/>
  <c r="P87" i="9"/>
  <c r="P88" i="9" s="1"/>
  <c r="Q74" i="9"/>
  <c r="Q79" i="9" s="1"/>
  <c r="Q80" i="9" s="1"/>
  <c r="Q81" i="9" s="1"/>
  <c r="R73" i="9"/>
  <c r="R74" i="9" s="1"/>
  <c r="R79" i="9" s="1"/>
  <c r="R80" i="9" s="1"/>
  <c r="R81" i="9" s="1"/>
  <c r="Q9" i="17"/>
  <c r="R8" i="17"/>
  <c r="R9" i="17" s="1"/>
  <c r="R62" i="18"/>
  <c r="R66" i="18"/>
  <c r="Q62" i="18"/>
  <c r="Q66" i="18"/>
  <c r="H28" i="14"/>
  <c r="I27" i="14"/>
  <c r="F29" i="14"/>
  <c r="D29" i="14"/>
  <c r="G29" i="14" s="1"/>
  <c r="G35" i="4" l="1"/>
  <c r="I136" i="9"/>
  <c r="O111" i="9"/>
  <c r="N9" i="4"/>
  <c r="L111" i="9"/>
  <c r="J9" i="4"/>
  <c r="I111" i="9"/>
  <c r="G9" i="4"/>
  <c r="G111" i="9"/>
  <c r="E9" i="4"/>
  <c r="J111" i="9"/>
  <c r="H9" i="4"/>
  <c r="H111" i="9"/>
  <c r="F9" i="4"/>
  <c r="M111" i="9"/>
  <c r="K9" i="4"/>
  <c r="N111" i="9"/>
  <c r="L9" i="4"/>
  <c r="F111" i="9"/>
  <c r="Q67" i="18"/>
  <c r="R67" i="18"/>
  <c r="Q67" i="9"/>
  <c r="R67" i="9"/>
  <c r="P106" i="9"/>
  <c r="P110" i="9" s="1"/>
  <c r="P111" i="9" s="1"/>
  <c r="K106" i="9"/>
  <c r="K110" i="9" s="1"/>
  <c r="R96" i="9"/>
  <c r="R97" i="9" s="1"/>
  <c r="R102" i="9" s="1"/>
  <c r="R103" i="9" s="1"/>
  <c r="R104" i="9" s="1"/>
  <c r="R106" i="9" s="1"/>
  <c r="R110" i="9" s="1"/>
  <c r="R111" i="9" s="1"/>
  <c r="Q97" i="9"/>
  <c r="Q102" i="9" s="1"/>
  <c r="Q103" i="9" s="1"/>
  <c r="Q104" i="9" s="1"/>
  <c r="Q106" i="9" s="1"/>
  <c r="Q110" i="9" s="1"/>
  <c r="Q111" i="9" s="1"/>
  <c r="R83" i="9"/>
  <c r="R87" i="9"/>
  <c r="R88" i="9" s="1"/>
  <c r="Q83" i="9"/>
  <c r="Q87" i="9"/>
  <c r="Q88" i="9" s="1"/>
  <c r="F30" i="14"/>
  <c r="D30" i="14"/>
  <c r="G30" i="14" s="1"/>
  <c r="H29" i="14"/>
  <c r="I28" i="14"/>
  <c r="I177" i="9" l="1"/>
  <c r="G13" i="4"/>
  <c r="K111" i="9"/>
  <c r="I9" i="4"/>
  <c r="H30" i="14"/>
  <c r="I29" i="14"/>
  <c r="F31" i="14"/>
  <c r="D31" i="14"/>
  <c r="G31" i="14" s="1"/>
  <c r="F32" i="14" l="1"/>
  <c r="D32" i="14"/>
  <c r="G32" i="14" s="1"/>
  <c r="H31" i="14"/>
  <c r="I30" i="14"/>
  <c r="H32" i="14" l="1"/>
  <c r="I31" i="14"/>
  <c r="F33" i="14"/>
  <c r="D33" i="14"/>
  <c r="G33" i="14" s="1"/>
  <c r="F34" i="14" l="1"/>
  <c r="D34" i="14"/>
  <c r="G34" i="14" s="1"/>
  <c r="H33" i="14"/>
  <c r="I32" i="14"/>
  <c r="H34" i="14" l="1"/>
  <c r="I33" i="14"/>
  <c r="F35" i="14"/>
  <c r="D35" i="14"/>
  <c r="G35" i="14" s="1"/>
  <c r="F36" i="14" l="1"/>
  <c r="D36" i="14"/>
  <c r="G36" i="14" s="1"/>
  <c r="H35" i="14"/>
  <c r="I34" i="14"/>
  <c r="H36" i="14" l="1"/>
  <c r="I35" i="14"/>
  <c r="F37" i="14"/>
  <c r="D37" i="14"/>
  <c r="G37" i="14" s="1"/>
  <c r="F38" i="14" l="1"/>
  <c r="D38" i="14"/>
  <c r="G38" i="14" s="1"/>
  <c r="H37" i="14"/>
  <c r="I36" i="14"/>
  <c r="H38" i="14" l="1"/>
  <c r="I37" i="14"/>
  <c r="F39" i="14"/>
  <c r="D39" i="14"/>
  <c r="G39" i="14" s="1"/>
  <c r="F40" i="14" l="1"/>
  <c r="D40" i="14"/>
  <c r="G40" i="14" s="1"/>
  <c r="H39" i="14"/>
  <c r="I38" i="14"/>
  <c r="H40" i="14" l="1"/>
  <c r="I39" i="14"/>
  <c r="D41" i="14"/>
  <c r="G41" i="14" s="1"/>
  <c r="F41" i="14"/>
  <c r="F42" i="14" l="1"/>
  <c r="D42" i="14"/>
  <c r="G42" i="14" s="1"/>
  <c r="H41" i="14"/>
  <c r="I40" i="14"/>
  <c r="H42" i="14" l="1"/>
  <c r="I41" i="14"/>
  <c r="F43" i="14"/>
  <c r="D43" i="14"/>
  <c r="G43" i="14" s="1"/>
  <c r="F44" i="14" l="1"/>
  <c r="H43" i="14"/>
  <c r="I42" i="14"/>
  <c r="H44" i="14" l="1"/>
  <c r="F46" i="14"/>
  <c r="F45" i="14"/>
  <c r="H45" i="14" l="1"/>
  <c r="H46" i="14"/>
  <c r="F49" i="1" l="1"/>
  <c r="G65" i="1"/>
  <c r="H28" i="9" s="1"/>
  <c r="H29" i="9" l="1"/>
  <c r="F61" i="1"/>
  <c r="F57" i="1"/>
  <c r="F53" i="1"/>
  <c r="H65" i="1"/>
  <c r="I65" i="1"/>
  <c r="H28" i="18" s="1"/>
  <c r="H29" i="18" s="1"/>
  <c r="I29" i="18" s="1"/>
  <c r="J29" i="18" s="1"/>
  <c r="K29" i="18" s="1"/>
  <c r="L29" i="18" s="1"/>
  <c r="M29" i="18" s="1"/>
  <c r="N29" i="18" s="1"/>
  <c r="O29" i="18" s="1"/>
  <c r="P29" i="18" s="1"/>
  <c r="Q29" i="18" s="1"/>
  <c r="R29" i="18" s="1"/>
  <c r="I29" i="9" l="1"/>
  <c r="F66" i="4"/>
  <c r="H28" i="17"/>
  <c r="H29" i="17" s="1"/>
  <c r="I28" i="17"/>
  <c r="F65" i="1"/>
  <c r="J29" i="9" l="1"/>
  <c r="K29" i="9" s="1"/>
  <c r="L29" i="9" s="1"/>
  <c r="M29" i="9" s="1"/>
  <c r="N29" i="9" s="1"/>
  <c r="O29" i="9" s="1"/>
  <c r="P29" i="9" s="1"/>
  <c r="Q29" i="9" s="1"/>
  <c r="R29" i="9" s="1"/>
  <c r="G66" i="4"/>
  <c r="H66" i="4"/>
  <c r="I29" i="17"/>
  <c r="I66" i="4" s="1"/>
  <c r="S18" i="1"/>
  <c r="E23" i="5" l="1"/>
  <c r="J29" i="17"/>
  <c r="J66" i="4"/>
  <c r="T15" i="1"/>
  <c r="U15" i="1"/>
  <c r="V16" i="1"/>
  <c r="T18" i="1"/>
  <c r="U18" i="1"/>
  <c r="V107" i="1" l="1"/>
  <c r="V110" i="1" s="1"/>
  <c r="F6" i="3" s="1"/>
  <c r="G23" i="5"/>
  <c r="X107" i="1" s="1"/>
  <c r="X110" i="1" s="1"/>
  <c r="H6" i="3" s="1"/>
  <c r="F23" i="5"/>
  <c r="K29" i="17"/>
  <c r="K66" i="4"/>
  <c r="V15" i="1"/>
  <c r="W107" i="1" l="1"/>
  <c r="W110" i="1" s="1"/>
  <c r="G6" i="3" s="1"/>
  <c r="I6" i="3" s="1"/>
  <c r="K79" i="4" s="1"/>
  <c r="L29" i="17"/>
  <c r="L66" i="4"/>
  <c r="H23" i="5"/>
  <c r="K23" i="5" s="1"/>
  <c r="U8" i="1"/>
  <c r="U11" i="1"/>
  <c r="G25" i="5" s="1"/>
  <c r="U22" i="1"/>
  <c r="M29" i="17" l="1"/>
  <c r="N29" i="17" s="1"/>
  <c r="O29" i="17" s="1"/>
  <c r="P29" i="17" s="1"/>
  <c r="Q29" i="17" s="1"/>
  <c r="R29" i="17" s="1"/>
  <c r="U23" i="1"/>
  <c r="AD35" i="1" l="1"/>
  <c r="AD47" i="1" s="1"/>
  <c r="O4" i="5"/>
  <c r="N4" i="5"/>
  <c r="L4" i="5"/>
  <c r="M4" i="5"/>
  <c r="K4" i="5"/>
  <c r="AD36" i="1"/>
  <c r="AD48" i="1" s="1"/>
  <c r="AD29" i="1"/>
  <c r="AD41" i="1" s="1"/>
  <c r="AD32" i="1"/>
  <c r="AD44" i="1" s="1"/>
  <c r="AD31" i="1"/>
  <c r="AD43" i="1" s="1"/>
  <c r="AD30" i="1"/>
  <c r="AD42" i="1" s="1"/>
  <c r="AD33" i="1"/>
  <c r="AD45" i="1" s="1"/>
  <c r="AD34" i="1"/>
  <c r="AD46" i="1" s="1"/>
  <c r="AD28" i="1"/>
  <c r="AD40" i="1" s="1"/>
  <c r="AD27" i="1"/>
  <c r="AD39" i="1" s="1"/>
  <c r="G32" i="5"/>
  <c r="G33" i="5" s="1"/>
  <c r="Q4" i="5" l="1"/>
  <c r="AD49" i="1"/>
  <c r="G36" i="5"/>
  <c r="G37" i="5" s="1"/>
  <c r="U24" i="5" s="1"/>
  <c r="H19" i="3"/>
  <c r="H182" i="18" l="1"/>
  <c r="F182" i="18"/>
  <c r="G182" i="18"/>
  <c r="G143" i="18"/>
  <c r="F143" i="18"/>
  <c r="H143" i="18"/>
  <c r="G52" i="5"/>
  <c r="H20" i="3"/>
  <c r="S8" i="1"/>
  <c r="T8" i="1"/>
  <c r="V9" i="1"/>
  <c r="S11" i="1"/>
  <c r="T11" i="1"/>
  <c r="F25" i="5" s="1"/>
  <c r="S22" i="1"/>
  <c r="T22" i="1"/>
  <c r="F183" i="18" l="1"/>
  <c r="H183" i="18"/>
  <c r="G183" i="18"/>
  <c r="H144" i="18"/>
  <c r="J23" i="4" s="1"/>
  <c r="G144" i="18"/>
  <c r="I23" i="4" s="1"/>
  <c r="F144" i="18"/>
  <c r="F32" i="5"/>
  <c r="F33" i="5" s="1"/>
  <c r="G53" i="5"/>
  <c r="H23" i="3" s="1"/>
  <c r="E25" i="5"/>
  <c r="C143" i="18"/>
  <c r="C182" i="18"/>
  <c r="V22" i="1"/>
  <c r="T23" i="1"/>
  <c r="V8" i="1"/>
  <c r="V11" i="1"/>
  <c r="S23" i="1"/>
  <c r="F186" i="18" l="1"/>
  <c r="H186" i="18"/>
  <c r="G186" i="18"/>
  <c r="H147" i="18"/>
  <c r="J10" i="4" s="1"/>
  <c r="F147" i="18"/>
  <c r="G147" i="18"/>
  <c r="I10" i="4" s="1"/>
  <c r="AB28" i="1"/>
  <c r="AB35" i="1"/>
  <c r="AB47" i="1" s="1"/>
  <c r="AE47" i="1" s="1"/>
  <c r="O12" i="5"/>
  <c r="O14" i="5"/>
  <c r="O16" i="5"/>
  <c r="O17" i="5"/>
  <c r="O8" i="5"/>
  <c r="O9" i="5" s="1"/>
  <c r="O18" i="5"/>
  <c r="O47" i="5"/>
  <c r="O48" i="5"/>
  <c r="O22" i="5"/>
  <c r="O13" i="5"/>
  <c r="E32" i="5"/>
  <c r="E33" i="5" s="1"/>
  <c r="AB40" i="1"/>
  <c r="AB29" i="1"/>
  <c r="AB41" i="1" s="1"/>
  <c r="AB32" i="1"/>
  <c r="AB44" i="1" s="1"/>
  <c r="AB27" i="1"/>
  <c r="AB39" i="1" s="1"/>
  <c r="AB31" i="1"/>
  <c r="AB43" i="1" s="1"/>
  <c r="AB30" i="1"/>
  <c r="AB42" i="1" s="1"/>
  <c r="AB36" i="1"/>
  <c r="AB48" i="1" s="1"/>
  <c r="AC48" i="1"/>
  <c r="AC41" i="1"/>
  <c r="AC32" i="1"/>
  <c r="AC44" i="1" s="1"/>
  <c r="AC31" i="1"/>
  <c r="AC43" i="1" s="1"/>
  <c r="AC42" i="1"/>
  <c r="AC40" i="1"/>
  <c r="AC39" i="1"/>
  <c r="AC45" i="1"/>
  <c r="C183" i="18"/>
  <c r="C144" i="18"/>
  <c r="V23" i="1"/>
  <c r="AC46" i="1"/>
  <c r="H25" i="5"/>
  <c r="L25" i="5" s="1"/>
  <c r="AB34" i="1"/>
  <c r="AB46" i="1" s="1"/>
  <c r="AB33" i="1"/>
  <c r="AB45" i="1" s="1"/>
  <c r="AE48" i="1" l="1"/>
  <c r="O19" i="5"/>
  <c r="L8" i="5"/>
  <c r="L18" i="5"/>
  <c r="L47" i="5"/>
  <c r="L48" i="5"/>
  <c r="L22" i="5"/>
  <c r="L12" i="5"/>
  <c r="L13" i="5"/>
  <c r="L16" i="5"/>
  <c r="L14" i="5"/>
  <c r="L17" i="5"/>
  <c r="M8" i="5"/>
  <c r="M18" i="5"/>
  <c r="M47" i="5"/>
  <c r="M48" i="5"/>
  <c r="M22" i="5"/>
  <c r="M13" i="5"/>
  <c r="M16" i="5"/>
  <c r="M12" i="5"/>
  <c r="M14" i="5"/>
  <c r="M17" i="5"/>
  <c r="O49" i="5"/>
  <c r="K8" i="5"/>
  <c r="K18" i="5"/>
  <c r="Q2" i="5"/>
  <c r="K47" i="5"/>
  <c r="K48" i="5"/>
  <c r="K22" i="5"/>
  <c r="K17" i="5"/>
  <c r="K13" i="5"/>
  <c r="K14" i="5"/>
  <c r="K16" i="5"/>
  <c r="K12" i="5"/>
  <c r="N8" i="5"/>
  <c r="N18" i="5"/>
  <c r="N47" i="5"/>
  <c r="N48" i="5"/>
  <c r="N22" i="5"/>
  <c r="N17" i="5"/>
  <c r="N13" i="5"/>
  <c r="N12" i="5"/>
  <c r="N16" i="5"/>
  <c r="N14" i="5"/>
  <c r="Q3" i="5"/>
  <c r="N32" i="5"/>
  <c r="L32" i="5"/>
  <c r="O32" i="5"/>
  <c r="O33" i="5" s="1"/>
  <c r="O61" i="5" s="1"/>
  <c r="K32" i="5"/>
  <c r="M32" i="5"/>
  <c r="AE44" i="1"/>
  <c r="AE42" i="1"/>
  <c r="AE41" i="1"/>
  <c r="AE39" i="1"/>
  <c r="AE40" i="1"/>
  <c r="AE43" i="1"/>
  <c r="AE45" i="1"/>
  <c r="AE46" i="1"/>
  <c r="AC49" i="1"/>
  <c r="AB49" i="1"/>
  <c r="C147" i="18"/>
  <c r="C186" i="18"/>
  <c r="F36" i="5"/>
  <c r="F37" i="5" s="1"/>
  <c r="T24" i="5" s="1"/>
  <c r="G19" i="3"/>
  <c r="E36" i="5"/>
  <c r="F19" i="3"/>
  <c r="H32" i="5"/>
  <c r="G182" i="17" l="1"/>
  <c r="F182" i="17"/>
  <c r="H182" i="17"/>
  <c r="F143" i="17"/>
  <c r="G143" i="17"/>
  <c r="H143" i="17"/>
  <c r="F182" i="9"/>
  <c r="H182" i="9"/>
  <c r="G182" i="9"/>
  <c r="G143" i="9"/>
  <c r="H143" i="9"/>
  <c r="F143" i="9"/>
  <c r="O59" i="5"/>
  <c r="N19" i="5"/>
  <c r="M49" i="5"/>
  <c r="L19" i="5"/>
  <c r="K49" i="5"/>
  <c r="K33" i="5"/>
  <c r="N49" i="5"/>
  <c r="L49" i="5"/>
  <c r="K19" i="5"/>
  <c r="M19" i="5"/>
  <c r="L36" i="5"/>
  <c r="L37" i="5" s="1"/>
  <c r="O36" i="5"/>
  <c r="O37" i="5" s="1"/>
  <c r="M36" i="5"/>
  <c r="M37" i="5" s="1"/>
  <c r="N36" i="5"/>
  <c r="N37" i="5" s="1"/>
  <c r="E37" i="5"/>
  <c r="E52" i="5" s="1"/>
  <c r="K36" i="5"/>
  <c r="K37" i="5" s="1"/>
  <c r="AE49" i="1"/>
  <c r="H33" i="5"/>
  <c r="G20" i="3"/>
  <c r="F52" i="5"/>
  <c r="F53" i="5" s="1"/>
  <c r="G23" i="3" s="1"/>
  <c r="I19" i="3"/>
  <c r="D18" i="4" l="1"/>
  <c r="E22" i="4"/>
  <c r="I22" i="4"/>
  <c r="K22" i="4"/>
  <c r="F22" i="4"/>
  <c r="H22" i="4"/>
  <c r="J22" i="4"/>
  <c r="M22" i="4"/>
  <c r="G22" i="4"/>
  <c r="L22" i="4"/>
  <c r="N22" i="4"/>
  <c r="D21" i="4"/>
  <c r="D22" i="4"/>
  <c r="E21" i="4"/>
  <c r="L21" i="4"/>
  <c r="F21" i="4"/>
  <c r="H21" i="4"/>
  <c r="N21" i="4"/>
  <c r="G21" i="4"/>
  <c r="I21" i="4"/>
  <c r="J21" i="4"/>
  <c r="K21" i="4"/>
  <c r="M21" i="4"/>
  <c r="D20" i="4"/>
  <c r="E20" i="4"/>
  <c r="G20" i="4"/>
  <c r="M20" i="4"/>
  <c r="F20" i="4"/>
  <c r="H20" i="4"/>
  <c r="I20" i="4"/>
  <c r="L20" i="4"/>
  <c r="N20" i="4"/>
  <c r="J20" i="4"/>
  <c r="K20" i="4"/>
  <c r="D19" i="4"/>
  <c r="E19" i="4"/>
  <c r="H19" i="4"/>
  <c r="J19" i="4"/>
  <c r="L19" i="4"/>
  <c r="N19" i="4"/>
  <c r="F19" i="4"/>
  <c r="G19" i="4"/>
  <c r="I19" i="4"/>
  <c r="K19" i="4"/>
  <c r="M19" i="4"/>
  <c r="E18" i="4"/>
  <c r="F18" i="4"/>
  <c r="G18" i="4"/>
  <c r="H18" i="4"/>
  <c r="I18" i="4"/>
  <c r="J18" i="4"/>
  <c r="K18" i="4"/>
  <c r="N18" i="4"/>
  <c r="L18" i="4"/>
  <c r="M18" i="4"/>
  <c r="G183" i="17"/>
  <c r="F183" i="17"/>
  <c r="H183" i="17"/>
  <c r="F186" i="17"/>
  <c r="G186" i="17"/>
  <c r="H186" i="17"/>
  <c r="G147" i="17"/>
  <c r="G10" i="4" s="1"/>
  <c r="H147" i="17"/>
  <c r="H10" i="4" s="1"/>
  <c r="F147" i="17"/>
  <c r="F144" i="17"/>
  <c r="H144" i="17"/>
  <c r="H23" i="4" s="1"/>
  <c r="G144" i="17"/>
  <c r="G23" i="4" s="1"/>
  <c r="K59" i="5"/>
  <c r="K61" i="5"/>
  <c r="K52" i="5"/>
  <c r="L52" i="5"/>
  <c r="M52" i="5"/>
  <c r="N52" i="5"/>
  <c r="O52" i="5"/>
  <c r="F20" i="3"/>
  <c r="I20" i="3" s="1"/>
  <c r="S24" i="5"/>
  <c r="H36" i="5"/>
  <c r="C182" i="17"/>
  <c r="C143" i="17"/>
  <c r="C182" i="9"/>
  <c r="H52" i="5"/>
  <c r="H53" i="5" s="1"/>
  <c r="E53" i="5"/>
  <c r="C143" i="9"/>
  <c r="G27" i="4" l="1"/>
  <c r="L27" i="4"/>
  <c r="H27" i="4"/>
  <c r="M27" i="4"/>
  <c r="M30" i="4" s="1"/>
  <c r="N27" i="4"/>
  <c r="K27" i="4"/>
  <c r="J27" i="4"/>
  <c r="I27" i="4"/>
  <c r="F183" i="9"/>
  <c r="G183" i="9"/>
  <c r="H183" i="9"/>
  <c r="G144" i="9"/>
  <c r="E23" i="4" s="1"/>
  <c r="E27" i="4" s="1"/>
  <c r="F144" i="9"/>
  <c r="H144" i="9"/>
  <c r="F23" i="4" s="1"/>
  <c r="F27" i="4" s="1"/>
  <c r="O53" i="5"/>
  <c r="N53" i="5"/>
  <c r="K53" i="5"/>
  <c r="L53" i="5"/>
  <c r="M53" i="5"/>
  <c r="C144" i="17"/>
  <c r="C183" i="17"/>
  <c r="H37" i="5"/>
  <c r="C147" i="17"/>
  <c r="C186" i="17"/>
  <c r="F23" i="3"/>
  <c r="D23" i="4" l="1"/>
  <c r="D27" i="4" s="1"/>
  <c r="F186" i="9"/>
  <c r="H186" i="9"/>
  <c r="G186" i="9"/>
  <c r="C144" i="9"/>
  <c r="F147" i="9"/>
  <c r="D10" i="4" s="1"/>
  <c r="H147" i="9"/>
  <c r="F10" i="4" s="1"/>
  <c r="G147" i="9"/>
  <c r="E10" i="4" s="1"/>
  <c r="C183" i="9"/>
  <c r="I23" i="3"/>
  <c r="C186" i="9" l="1"/>
  <c r="C147" i="9"/>
  <c r="I128" i="9"/>
  <c r="G42" i="4" s="1"/>
  <c r="V24" i="5"/>
  <c r="D124" i="9"/>
  <c r="C197" i="9"/>
  <c r="G13" i="1"/>
  <c r="G12" i="1" s="1"/>
  <c r="H13" i="1"/>
  <c r="I13" i="1"/>
  <c r="I12" i="1" s="1"/>
  <c r="G17" i="1"/>
  <c r="G16" i="1" s="1"/>
  <c r="H17" i="1"/>
  <c r="K17" i="1" s="1"/>
  <c r="I17" i="1"/>
  <c r="L17" i="1" s="1"/>
  <c r="G21" i="1"/>
  <c r="J21" i="1" s="1"/>
  <c r="H21" i="1"/>
  <c r="K21" i="1" s="1"/>
  <c r="I21" i="1"/>
  <c r="L21" i="1" s="1"/>
  <c r="G25" i="1"/>
  <c r="J25" i="1" s="1"/>
  <c r="H25" i="1"/>
  <c r="K25" i="1" s="1"/>
  <c r="I25" i="1"/>
  <c r="L25" i="1" s="1"/>
  <c r="G29" i="1"/>
  <c r="H29" i="1"/>
  <c r="I29" i="1"/>
  <c r="L29" i="1" s="1"/>
  <c r="G50" i="1"/>
  <c r="H50" i="1" s="1"/>
  <c r="G54" i="1"/>
  <c r="G55" i="1" s="1"/>
  <c r="G58" i="1"/>
  <c r="G59" i="1" s="1"/>
  <c r="G62" i="1"/>
  <c r="H62" i="1" s="1"/>
  <c r="K29" i="1" l="1"/>
  <c r="K28" i="1" s="1"/>
  <c r="H12" i="1"/>
  <c r="H58" i="1"/>
  <c r="G64" i="1"/>
  <c r="G63" i="1"/>
  <c r="H28" i="1"/>
  <c r="M25" i="1"/>
  <c r="M24" i="1" s="1"/>
  <c r="J24" i="1"/>
  <c r="O21" i="1"/>
  <c r="O20" i="1" s="1"/>
  <c r="L20" i="1"/>
  <c r="N21" i="1"/>
  <c r="N20" i="1" s="1"/>
  <c r="K20" i="1"/>
  <c r="M21" i="1"/>
  <c r="M20" i="1" s="1"/>
  <c r="J20" i="1"/>
  <c r="O17" i="1"/>
  <c r="O16" i="1" s="1"/>
  <c r="L16" i="1"/>
  <c r="N17" i="1"/>
  <c r="N16" i="1" s="1"/>
  <c r="K16" i="1"/>
  <c r="I62" i="1"/>
  <c r="I63" i="1" s="1"/>
  <c r="H63" i="1"/>
  <c r="O29" i="1"/>
  <c r="O28" i="1" s="1"/>
  <c r="L28" i="1"/>
  <c r="J29" i="1"/>
  <c r="G28" i="1"/>
  <c r="I50" i="1"/>
  <c r="H51" i="1"/>
  <c r="I51" i="1" s="1"/>
  <c r="O25" i="1"/>
  <c r="O24" i="1" s="1"/>
  <c r="L24" i="1"/>
  <c r="N25" i="1"/>
  <c r="N24" i="1" s="1"/>
  <c r="K24" i="1"/>
  <c r="J17" i="1"/>
  <c r="L13" i="1"/>
  <c r="K13" i="1"/>
  <c r="H54" i="1"/>
  <c r="J13" i="1"/>
  <c r="I28" i="1"/>
  <c r="G51" i="1"/>
  <c r="I24" i="1"/>
  <c r="H24" i="1"/>
  <c r="G24" i="1"/>
  <c r="I20" i="1"/>
  <c r="H20" i="1"/>
  <c r="G20" i="1"/>
  <c r="I16" i="1"/>
  <c r="H16" i="1"/>
  <c r="N29" i="1" l="1"/>
  <c r="N28" i="1" s="1"/>
  <c r="I58" i="1"/>
  <c r="I59" i="1" s="1"/>
  <c r="O37" i="9"/>
  <c r="O38" i="9" s="1"/>
  <c r="O39" i="9" s="1"/>
  <c r="Q37" i="9"/>
  <c r="Q38" i="9" s="1"/>
  <c r="Q39" i="9" s="1"/>
  <c r="P37" i="9"/>
  <c r="P38" i="9" s="1"/>
  <c r="P39" i="9" s="1"/>
  <c r="R37" i="9"/>
  <c r="R38" i="9" s="1"/>
  <c r="R39" i="9" s="1"/>
  <c r="J37" i="9"/>
  <c r="J38" i="9" s="1"/>
  <c r="J39" i="9" s="1"/>
  <c r="J41" i="9" s="1"/>
  <c r="I37" i="9"/>
  <c r="I38" i="9" s="1"/>
  <c r="I39" i="9" s="1"/>
  <c r="I45" i="9" s="1"/>
  <c r="H37" i="9"/>
  <c r="H38" i="9" s="1"/>
  <c r="H39" i="9" s="1"/>
  <c r="H45" i="9" s="1"/>
  <c r="L37" i="9"/>
  <c r="L38" i="9" s="1"/>
  <c r="L39" i="9" s="1"/>
  <c r="L45" i="9" s="1"/>
  <c r="E37" i="9"/>
  <c r="E38" i="9" s="1"/>
  <c r="E39" i="9" s="1"/>
  <c r="E41" i="9" s="1"/>
  <c r="D37" i="9"/>
  <c r="D38" i="9" s="1"/>
  <c r="D39" i="9" s="1"/>
  <c r="D41" i="9" s="1"/>
  <c r="K37" i="9"/>
  <c r="K38" i="9" s="1"/>
  <c r="K39" i="9" s="1"/>
  <c r="K41" i="9" s="1"/>
  <c r="F37" i="9"/>
  <c r="F38" i="9" s="1"/>
  <c r="F39" i="9" s="1"/>
  <c r="F45" i="9" s="1"/>
  <c r="G37" i="9"/>
  <c r="G38" i="9" s="1"/>
  <c r="G39" i="9" s="1"/>
  <c r="G41" i="9" s="1"/>
  <c r="G68" i="1"/>
  <c r="G67" i="1"/>
  <c r="H59" i="1"/>
  <c r="G30" i="1"/>
  <c r="G34" i="1" s="1"/>
  <c r="F63" i="1"/>
  <c r="H30" i="1"/>
  <c r="I30" i="1"/>
  <c r="I33" i="1" s="1"/>
  <c r="M37" i="9"/>
  <c r="M38" i="9" s="1"/>
  <c r="M39" i="9" s="1"/>
  <c r="M41" i="9" s="1"/>
  <c r="N37" i="9"/>
  <c r="N38" i="9" s="1"/>
  <c r="N39" i="9" s="1"/>
  <c r="N45" i="9" s="1"/>
  <c r="M29" i="1"/>
  <c r="M28" i="1" s="1"/>
  <c r="J28" i="1"/>
  <c r="F51" i="1"/>
  <c r="M13" i="1"/>
  <c r="M12" i="1" s="1"/>
  <c r="J12" i="1"/>
  <c r="I54" i="1"/>
  <c r="I55" i="1" s="1"/>
  <c r="H55" i="1"/>
  <c r="H64" i="1"/>
  <c r="N13" i="1"/>
  <c r="N12" i="1" s="1"/>
  <c r="N30" i="1" s="1"/>
  <c r="K12" i="1"/>
  <c r="K30" i="1" s="1"/>
  <c r="O13" i="1"/>
  <c r="O12" i="1" s="1"/>
  <c r="O30" i="1" s="1"/>
  <c r="L12" i="1"/>
  <c r="L30" i="1" s="1"/>
  <c r="M17" i="1"/>
  <c r="M16" i="1" s="1"/>
  <c r="J16" i="1"/>
  <c r="F59" i="1" l="1"/>
  <c r="H33" i="1"/>
  <c r="O37" i="17"/>
  <c r="O38" i="17" s="1"/>
  <c r="O39" i="17" s="1"/>
  <c r="Q37" i="17"/>
  <c r="Q38" i="17" s="1"/>
  <c r="Q39" i="17" s="1"/>
  <c r="P37" i="17"/>
  <c r="P38" i="17" s="1"/>
  <c r="P39" i="17" s="1"/>
  <c r="R37" i="17"/>
  <c r="R38" i="17" s="1"/>
  <c r="R39" i="17" s="1"/>
  <c r="R45" i="9"/>
  <c r="R41" i="9"/>
  <c r="P45" i="9"/>
  <c r="P41" i="9"/>
  <c r="Q45" i="9"/>
  <c r="Q41" i="9"/>
  <c r="O41" i="9"/>
  <c r="O45" i="9"/>
  <c r="K45" i="9"/>
  <c r="J45" i="9"/>
  <c r="H41" i="9"/>
  <c r="E45" i="9"/>
  <c r="D37" i="17"/>
  <c r="E37" i="17"/>
  <c r="I37" i="17"/>
  <c r="N37" i="17"/>
  <c r="F37" i="17"/>
  <c r="J37" i="17"/>
  <c r="G37" i="17"/>
  <c r="H37" i="17"/>
  <c r="K37" i="17"/>
  <c r="L37" i="17"/>
  <c r="M37" i="17"/>
  <c r="I41" i="9"/>
  <c r="D45" i="9"/>
  <c r="F41" i="9"/>
  <c r="L41" i="9"/>
  <c r="G45" i="9"/>
  <c r="G33" i="1"/>
  <c r="G37" i="1"/>
  <c r="H34" i="1"/>
  <c r="I34" i="1"/>
  <c r="M30" i="1"/>
  <c r="I37" i="1" s="1"/>
  <c r="F55" i="1"/>
  <c r="M45" i="9"/>
  <c r="I64" i="1"/>
  <c r="N41" i="9"/>
  <c r="L34" i="1"/>
  <c r="L33" i="1"/>
  <c r="N34" i="1"/>
  <c r="N33" i="1"/>
  <c r="L46" i="9"/>
  <c r="F46" i="9"/>
  <c r="K33" i="1"/>
  <c r="K34" i="1"/>
  <c r="I46" i="9"/>
  <c r="H67" i="1"/>
  <c r="H68" i="1"/>
  <c r="N46" i="9"/>
  <c r="O34" i="1"/>
  <c r="O33" i="1"/>
  <c r="H46" i="9"/>
  <c r="J30" i="1"/>
  <c r="E46" i="9" l="1"/>
  <c r="D46" i="9"/>
  <c r="M46" i="9"/>
  <c r="J46" i="9"/>
  <c r="K46" i="9"/>
  <c r="G46" i="9"/>
  <c r="O37" i="18"/>
  <c r="O38" i="18" s="1"/>
  <c r="O39" i="18" s="1"/>
  <c r="P37" i="18"/>
  <c r="P38" i="18" s="1"/>
  <c r="P39" i="18" s="1"/>
  <c r="R37" i="18"/>
  <c r="R38" i="18" s="1"/>
  <c r="R39" i="18" s="1"/>
  <c r="Q37" i="18"/>
  <c r="Q38" i="18" s="1"/>
  <c r="Q39" i="18" s="1"/>
  <c r="O14" i="18"/>
  <c r="P14" i="18"/>
  <c r="Q14" i="18"/>
  <c r="R14" i="18"/>
  <c r="R41" i="17"/>
  <c r="R45" i="17"/>
  <c r="P41" i="17"/>
  <c r="P45" i="17"/>
  <c r="Q45" i="17"/>
  <c r="Q41" i="17"/>
  <c r="O45" i="17"/>
  <c r="O41" i="17"/>
  <c r="O14" i="9"/>
  <c r="P14" i="9"/>
  <c r="R14" i="9"/>
  <c r="Q14" i="9"/>
  <c r="O46" i="9"/>
  <c r="Q46" i="9"/>
  <c r="P46" i="9"/>
  <c r="R46" i="9"/>
  <c r="E37" i="18"/>
  <c r="E38" i="18" s="1"/>
  <c r="E39" i="18" s="1"/>
  <c r="E41" i="18" s="1"/>
  <c r="I37" i="18"/>
  <c r="I38" i="18" s="1"/>
  <c r="I39" i="18" s="1"/>
  <c r="I41" i="18" s="1"/>
  <c r="F37" i="18"/>
  <c r="F38" i="18" s="1"/>
  <c r="F39" i="18" s="1"/>
  <c r="F41" i="18" s="1"/>
  <c r="G37" i="18"/>
  <c r="G38" i="18" s="1"/>
  <c r="G39" i="18" s="1"/>
  <c r="G41" i="18" s="1"/>
  <c r="H37" i="18"/>
  <c r="H38" i="18" s="1"/>
  <c r="H39" i="18" s="1"/>
  <c r="H41" i="18" s="1"/>
  <c r="J37" i="18"/>
  <c r="J38" i="18" s="1"/>
  <c r="J39" i="18" s="1"/>
  <c r="J45" i="18" s="1"/>
  <c r="K37" i="18"/>
  <c r="K38" i="18" s="1"/>
  <c r="K39" i="18" s="1"/>
  <c r="K45" i="18" s="1"/>
  <c r="L37" i="18"/>
  <c r="L38" i="18" s="1"/>
  <c r="L39" i="18" s="1"/>
  <c r="L45" i="18" s="1"/>
  <c r="M37" i="18"/>
  <c r="M38" i="18" s="1"/>
  <c r="M39" i="18" s="1"/>
  <c r="M45" i="18" s="1"/>
  <c r="N37" i="18"/>
  <c r="N38" i="18" s="1"/>
  <c r="N39" i="18" s="1"/>
  <c r="N41" i="18" s="1"/>
  <c r="F64" i="1"/>
  <c r="F68" i="1" s="1"/>
  <c r="D37" i="18"/>
  <c r="D14" i="18"/>
  <c r="D15" i="18" s="1"/>
  <c r="E14" i="18"/>
  <c r="E15" i="18" s="1"/>
  <c r="I14" i="18"/>
  <c r="I15" i="18" s="1"/>
  <c r="F14" i="18"/>
  <c r="F15" i="18" s="1"/>
  <c r="G14" i="18"/>
  <c r="G15" i="18" s="1"/>
  <c r="H14" i="18"/>
  <c r="H15" i="18" s="1"/>
  <c r="J14" i="18"/>
  <c r="J15" i="18" s="1"/>
  <c r="K14" i="18"/>
  <c r="K15" i="18" s="1"/>
  <c r="L14" i="18"/>
  <c r="L15" i="18" s="1"/>
  <c r="M14" i="18"/>
  <c r="M15" i="18" s="1"/>
  <c r="N14" i="18"/>
  <c r="N15" i="18" s="1"/>
  <c r="M38" i="17"/>
  <c r="M39" i="17" s="1"/>
  <c r="L38" i="17"/>
  <c r="L39" i="17" s="1"/>
  <c r="K38" i="17"/>
  <c r="K39" i="17" s="1"/>
  <c r="H38" i="17"/>
  <c r="H39" i="17" s="1"/>
  <c r="G38" i="17"/>
  <c r="G39" i="17" s="1"/>
  <c r="J38" i="17"/>
  <c r="J39" i="17" s="1"/>
  <c r="F38" i="17"/>
  <c r="F39" i="17" s="1"/>
  <c r="N38" i="17"/>
  <c r="N39" i="17" s="1"/>
  <c r="I38" i="17"/>
  <c r="I39" i="17" s="1"/>
  <c r="E38" i="17"/>
  <c r="E39" i="17" s="1"/>
  <c r="D38" i="17"/>
  <c r="D39" i="17" s="1"/>
  <c r="H14" i="9"/>
  <c r="H15" i="9" s="1"/>
  <c r="H16" i="9" s="1"/>
  <c r="M14" i="9"/>
  <c r="M15" i="9" s="1"/>
  <c r="M16" i="9" s="1"/>
  <c r="M33" i="1"/>
  <c r="M34" i="1"/>
  <c r="G41" i="1"/>
  <c r="K14" i="9"/>
  <c r="K15" i="9" s="1"/>
  <c r="K16" i="9" s="1"/>
  <c r="G40" i="1"/>
  <c r="L14" i="9"/>
  <c r="L15" i="9" s="1"/>
  <c r="L16" i="9" s="1"/>
  <c r="N14" i="9"/>
  <c r="N15" i="9" s="1"/>
  <c r="N16" i="9" s="1"/>
  <c r="G14" i="9"/>
  <c r="G15" i="9" s="1"/>
  <c r="G16" i="9" s="1"/>
  <c r="F14" i="9"/>
  <c r="F15" i="9" s="1"/>
  <c r="F16" i="9" s="1"/>
  <c r="I14" i="9"/>
  <c r="I15" i="9" s="1"/>
  <c r="I16" i="9" s="1"/>
  <c r="J14" i="9"/>
  <c r="J15" i="9" s="1"/>
  <c r="J16" i="9" s="1"/>
  <c r="E14" i="9"/>
  <c r="D14" i="9"/>
  <c r="D15" i="9" s="1"/>
  <c r="D16" i="9" s="1"/>
  <c r="I68" i="1"/>
  <c r="I67" i="1"/>
  <c r="I40" i="1"/>
  <c r="I41" i="1"/>
  <c r="J34" i="1"/>
  <c r="J33" i="1"/>
  <c r="H37" i="1"/>
  <c r="F30" i="1"/>
  <c r="K46" i="18" l="1"/>
  <c r="L46" i="18"/>
  <c r="J46" i="18"/>
  <c r="M46" i="18"/>
  <c r="R15" i="18"/>
  <c r="R16" i="18" s="1"/>
  <c r="Q15" i="18"/>
  <c r="Q16" i="18" s="1"/>
  <c r="P15" i="18"/>
  <c r="P16" i="18" s="1"/>
  <c r="O15" i="18"/>
  <c r="O16" i="18" s="1"/>
  <c r="Q41" i="18"/>
  <c r="Q45" i="18"/>
  <c r="R41" i="18"/>
  <c r="R45" i="18"/>
  <c r="P41" i="18"/>
  <c r="P45" i="18"/>
  <c r="O41" i="18"/>
  <c r="O45" i="18"/>
  <c r="O14" i="17"/>
  <c r="Q14" i="17"/>
  <c r="P14" i="17"/>
  <c r="R14" i="17"/>
  <c r="O46" i="17"/>
  <c r="Q46" i="17"/>
  <c r="P46" i="17"/>
  <c r="R46" i="17"/>
  <c r="H45" i="18"/>
  <c r="K41" i="18"/>
  <c r="E45" i="18"/>
  <c r="F45" i="18"/>
  <c r="Q15" i="9"/>
  <c r="Q16" i="9" s="1"/>
  <c r="R15" i="9"/>
  <c r="R16" i="9" s="1"/>
  <c r="P15" i="9"/>
  <c r="P16" i="9" s="1"/>
  <c r="O15" i="9"/>
  <c r="O16" i="9" s="1"/>
  <c r="I45" i="18"/>
  <c r="G45" i="18"/>
  <c r="L41" i="18"/>
  <c r="M41" i="18"/>
  <c r="N45" i="18"/>
  <c r="J41" i="18"/>
  <c r="F67" i="1"/>
  <c r="D38" i="18"/>
  <c r="D39" i="18" s="1"/>
  <c r="I41" i="17"/>
  <c r="I45" i="17"/>
  <c r="N41" i="17"/>
  <c r="N45" i="17"/>
  <c r="L45" i="17"/>
  <c r="L41" i="17"/>
  <c r="E41" i="17"/>
  <c r="E45" i="17"/>
  <c r="F41" i="17"/>
  <c r="F45" i="17"/>
  <c r="J41" i="17"/>
  <c r="J45" i="17"/>
  <c r="G41" i="17"/>
  <c r="G45" i="17"/>
  <c r="H41" i="17"/>
  <c r="H45" i="17"/>
  <c r="K45" i="17"/>
  <c r="K41" i="17"/>
  <c r="M45" i="17"/>
  <c r="M41" i="17"/>
  <c r="D41" i="17"/>
  <c r="D45" i="17"/>
  <c r="D14" i="17"/>
  <c r="D15" i="17" s="1"/>
  <c r="E14" i="17"/>
  <c r="E15" i="17" s="1"/>
  <c r="H14" i="17"/>
  <c r="H15" i="17" s="1"/>
  <c r="I14" i="17"/>
  <c r="K14" i="17"/>
  <c r="N14" i="17"/>
  <c r="N15" i="17" s="1"/>
  <c r="F14" i="17"/>
  <c r="G14" i="17"/>
  <c r="J14" i="17"/>
  <c r="L14" i="17"/>
  <c r="M14" i="17"/>
  <c r="E15" i="9"/>
  <c r="E16" i="9" s="1"/>
  <c r="G22" i="9"/>
  <c r="G113" i="9" s="1"/>
  <c r="G18" i="9"/>
  <c r="F18" i="9"/>
  <c r="F22" i="9"/>
  <c r="F113" i="9" s="1"/>
  <c r="M22" i="9"/>
  <c r="M113" i="9" s="1"/>
  <c r="M18" i="9"/>
  <c r="N22" i="9"/>
  <c r="N113" i="9" s="1"/>
  <c r="N18" i="9"/>
  <c r="J22" i="9"/>
  <c r="J113" i="9" s="1"/>
  <c r="J18" i="9"/>
  <c r="D18" i="9"/>
  <c r="D22" i="9"/>
  <c r="D113" i="9" s="1"/>
  <c r="F33" i="1"/>
  <c r="F34" i="1"/>
  <c r="H41" i="1"/>
  <c r="H40" i="1"/>
  <c r="F37" i="1"/>
  <c r="K22" i="9"/>
  <c r="K113" i="9" s="1"/>
  <c r="K18" i="9"/>
  <c r="I22" i="9"/>
  <c r="I113" i="9" s="1"/>
  <c r="I18" i="9"/>
  <c r="H22" i="9"/>
  <c r="H113" i="9" s="1"/>
  <c r="H18" i="9"/>
  <c r="L22" i="9"/>
  <c r="L113" i="9" s="1"/>
  <c r="L18" i="9"/>
  <c r="H46" i="18" l="1"/>
  <c r="N46" i="18"/>
  <c r="I46" i="18"/>
  <c r="G46" i="18"/>
  <c r="F46" i="18"/>
  <c r="E46" i="18"/>
  <c r="N46" i="17"/>
  <c r="D5" i="4"/>
  <c r="F46" i="17"/>
  <c r="L46" i="17"/>
  <c r="L5" i="4"/>
  <c r="K46" i="17"/>
  <c r="K5" i="4"/>
  <c r="H46" i="17"/>
  <c r="H5" i="4"/>
  <c r="G46" i="17"/>
  <c r="G5" i="4"/>
  <c r="M46" i="17"/>
  <c r="N5" i="4"/>
  <c r="I46" i="17"/>
  <c r="I5" i="4"/>
  <c r="E46" i="17"/>
  <c r="E5" i="4"/>
  <c r="J46" i="17"/>
  <c r="J5" i="4"/>
  <c r="D46" i="17"/>
  <c r="O18" i="18"/>
  <c r="O22" i="18"/>
  <c r="O23" i="18" s="1"/>
  <c r="P22" i="18"/>
  <c r="P23" i="18" s="1"/>
  <c r="P18" i="18"/>
  <c r="R22" i="18"/>
  <c r="R23" i="18" s="1"/>
  <c r="R18" i="18"/>
  <c r="P46" i="18"/>
  <c r="Q18" i="18"/>
  <c r="Q22" i="18"/>
  <c r="Q23" i="18" s="1"/>
  <c r="R46" i="18"/>
  <c r="Q46" i="18"/>
  <c r="O46" i="18"/>
  <c r="R15" i="17"/>
  <c r="R16" i="17" s="1"/>
  <c r="P15" i="17"/>
  <c r="P16" i="17" s="1"/>
  <c r="Q15" i="17"/>
  <c r="Q16" i="17" s="1"/>
  <c r="O15" i="17"/>
  <c r="O16" i="17" s="1"/>
  <c r="R22" i="9"/>
  <c r="R113" i="9" s="1"/>
  <c r="R18" i="9"/>
  <c r="O18" i="9"/>
  <c r="O22" i="9"/>
  <c r="O113" i="9" s="1"/>
  <c r="Q18" i="9"/>
  <c r="Q22" i="9"/>
  <c r="Q113" i="9" s="1"/>
  <c r="P18" i="9"/>
  <c r="P22" i="9"/>
  <c r="P113" i="9" s="1"/>
  <c r="D41" i="18"/>
  <c r="D45" i="18"/>
  <c r="N16" i="18"/>
  <c r="J16" i="18"/>
  <c r="I16" i="18"/>
  <c r="H16" i="18"/>
  <c r="K16" i="18"/>
  <c r="D16" i="18"/>
  <c r="M16" i="18"/>
  <c r="G16" i="18"/>
  <c r="F16" i="18"/>
  <c r="L16" i="18"/>
  <c r="E16" i="18"/>
  <c r="D16" i="17"/>
  <c r="D22" i="17" s="1"/>
  <c r="D23" i="17" s="1"/>
  <c r="H16" i="17"/>
  <c r="H22" i="17" s="1"/>
  <c r="H23" i="17" s="1"/>
  <c r="N16" i="17"/>
  <c r="N18" i="17" s="1"/>
  <c r="E16" i="17"/>
  <c r="E22" i="17" s="1"/>
  <c r="E23" i="17" s="1"/>
  <c r="J15" i="17"/>
  <c r="J16" i="17" s="1"/>
  <c r="K15" i="17"/>
  <c r="K16" i="17" s="1"/>
  <c r="L15" i="17"/>
  <c r="L16" i="17" s="1"/>
  <c r="I15" i="17"/>
  <c r="I16" i="17" s="1"/>
  <c r="M15" i="17"/>
  <c r="M16" i="17" s="1"/>
  <c r="F15" i="17"/>
  <c r="F16" i="17" s="1"/>
  <c r="G15" i="17"/>
  <c r="G16" i="17" s="1"/>
  <c r="E22" i="9"/>
  <c r="E113" i="9" s="1"/>
  <c r="E18" i="9"/>
  <c r="M23" i="9"/>
  <c r="M114" i="9" s="1"/>
  <c r="D23" i="9"/>
  <c r="D134" i="9" s="1"/>
  <c r="D135" i="9" s="1"/>
  <c r="D136" i="9" s="1"/>
  <c r="D177" i="9" s="1"/>
  <c r="L23" i="9"/>
  <c r="L114" i="9" s="1"/>
  <c r="I23" i="9"/>
  <c r="I114" i="9" s="1"/>
  <c r="J23" i="9"/>
  <c r="N23" i="9"/>
  <c r="H23" i="9"/>
  <c r="H114" i="9" s="1"/>
  <c r="F23" i="9"/>
  <c r="F114" i="9" s="1"/>
  <c r="K23" i="9"/>
  <c r="F40" i="1"/>
  <c r="F41" i="1"/>
  <c r="G23" i="9"/>
  <c r="G114" i="9" s="1"/>
  <c r="N114" i="9" l="1"/>
  <c r="K114" i="9"/>
  <c r="K134" i="9"/>
  <c r="Q114" i="18"/>
  <c r="P114" i="18"/>
  <c r="O32" i="7" s="1"/>
  <c r="O33" i="7" s="1"/>
  <c r="O34" i="7" s="1"/>
  <c r="O35" i="7" s="1"/>
  <c r="O113" i="18"/>
  <c r="O176" i="18" s="1"/>
  <c r="R113" i="18"/>
  <c r="R176" i="18" s="1"/>
  <c r="P113" i="18"/>
  <c r="P176" i="18" s="1"/>
  <c r="Q113" i="18"/>
  <c r="Q176" i="18" s="1"/>
  <c r="O114" i="18"/>
  <c r="N32" i="7" s="1"/>
  <c r="N33" i="7" s="1"/>
  <c r="N34" i="7" s="1"/>
  <c r="N35" i="7" s="1"/>
  <c r="R114" i="18"/>
  <c r="D46" i="18"/>
  <c r="E114" i="17"/>
  <c r="D23" i="7" s="1"/>
  <c r="D24" i="7" s="1"/>
  <c r="D25" i="7" s="1"/>
  <c r="D26" i="7" s="1"/>
  <c r="E113" i="17"/>
  <c r="H113" i="17"/>
  <c r="H114" i="17"/>
  <c r="D114" i="17"/>
  <c r="C23" i="7" s="1"/>
  <c r="C24" i="7" s="1"/>
  <c r="C25" i="7" s="1"/>
  <c r="D113" i="17"/>
  <c r="J114" i="9"/>
  <c r="J134" i="9"/>
  <c r="D114" i="9"/>
  <c r="C14" i="7" s="1"/>
  <c r="C15" i="7" s="1"/>
  <c r="C16" i="7" s="1"/>
  <c r="M14" i="7"/>
  <c r="K14" i="7"/>
  <c r="K15" i="7" s="1"/>
  <c r="K16" i="7" s="1"/>
  <c r="K17" i="7" s="1"/>
  <c r="H14" i="7"/>
  <c r="L14" i="7"/>
  <c r="L15" i="7" s="1"/>
  <c r="L16" i="7" s="1"/>
  <c r="L17" i="7" s="1"/>
  <c r="M176" i="9"/>
  <c r="M205" i="9" s="1"/>
  <c r="L176" i="9"/>
  <c r="L205" i="9" s="1"/>
  <c r="K176" i="9"/>
  <c r="N176" i="9"/>
  <c r="N205" i="9" s="1"/>
  <c r="P32" i="7"/>
  <c r="P33" i="7" s="1"/>
  <c r="P34" i="7" s="1"/>
  <c r="P35" i="7" s="1"/>
  <c r="D6" i="4"/>
  <c r="F5" i="4"/>
  <c r="E6" i="4"/>
  <c r="E23" i="9"/>
  <c r="E114" i="9" s="1"/>
  <c r="O22" i="17"/>
  <c r="O113" i="17" s="1"/>
  <c r="O18" i="17"/>
  <c r="Q22" i="17"/>
  <c r="Q113" i="17" s="1"/>
  <c r="Q18" i="17"/>
  <c r="R18" i="17"/>
  <c r="R22" i="17"/>
  <c r="R113" i="17" s="1"/>
  <c r="P22" i="17"/>
  <c r="P113" i="17" s="1"/>
  <c r="P18" i="17"/>
  <c r="Q23" i="9"/>
  <c r="Q176" i="9"/>
  <c r="P23" i="9"/>
  <c r="P176" i="9"/>
  <c r="O23" i="9"/>
  <c r="R23" i="9"/>
  <c r="R114" i="9" s="1"/>
  <c r="R176" i="9"/>
  <c r="N22" i="17"/>
  <c r="N113" i="17" s="1"/>
  <c r="D18" i="17"/>
  <c r="L18" i="18"/>
  <c r="L22" i="18"/>
  <c r="L113" i="18" s="1"/>
  <c r="K18" i="18"/>
  <c r="K22" i="18"/>
  <c r="K113" i="18" s="1"/>
  <c r="M18" i="18"/>
  <c r="M22" i="18"/>
  <c r="M113" i="18" s="1"/>
  <c r="J18" i="18"/>
  <c r="J22" i="18"/>
  <c r="J113" i="18" s="1"/>
  <c r="D22" i="18"/>
  <c r="D23" i="18" s="1"/>
  <c r="D18" i="18"/>
  <c r="N18" i="18"/>
  <c r="N22" i="18"/>
  <c r="N113" i="18" s="1"/>
  <c r="G22" i="18"/>
  <c r="G113" i="18" s="1"/>
  <c r="G18" i="18"/>
  <c r="F22" i="18"/>
  <c r="F113" i="18" s="1"/>
  <c r="F18" i="18"/>
  <c r="I18" i="18"/>
  <c r="I22" i="18"/>
  <c r="I113" i="18" s="1"/>
  <c r="E22" i="18"/>
  <c r="E113" i="18" s="1"/>
  <c r="E18" i="18"/>
  <c r="H18" i="17"/>
  <c r="H22" i="18"/>
  <c r="H113" i="18" s="1"/>
  <c r="H18" i="18"/>
  <c r="E18" i="17"/>
  <c r="E176" i="9"/>
  <c r="E205" i="9" s="1"/>
  <c r="G18" i="17"/>
  <c r="G22" i="17"/>
  <c r="G113" i="17" s="1"/>
  <c r="L18" i="17"/>
  <c r="L22" i="17"/>
  <c r="L113" i="17" s="1"/>
  <c r="M18" i="17"/>
  <c r="M22" i="17"/>
  <c r="M113" i="17" s="1"/>
  <c r="K18" i="17"/>
  <c r="K22" i="17"/>
  <c r="K113" i="17" s="1"/>
  <c r="F22" i="17"/>
  <c r="F113" i="17" s="1"/>
  <c r="F18" i="17"/>
  <c r="I22" i="17"/>
  <c r="I113" i="17" s="1"/>
  <c r="I18" i="17"/>
  <c r="J18" i="17"/>
  <c r="J22" i="17"/>
  <c r="J113" i="17" s="1"/>
  <c r="H176" i="9"/>
  <c r="H205" i="9" s="1"/>
  <c r="I176" i="9"/>
  <c r="I205" i="9" s="1"/>
  <c r="D176" i="9"/>
  <c r="D205" i="9" s="1"/>
  <c r="J176" i="9"/>
  <c r="G176" i="9"/>
  <c r="G205" i="9" s="1"/>
  <c r="F176" i="9"/>
  <c r="F205" i="9" s="1"/>
  <c r="J135" i="9" l="1"/>
  <c r="H35" i="4" s="1"/>
  <c r="H34" i="4"/>
  <c r="K135" i="9"/>
  <c r="I35" i="4" s="1"/>
  <c r="I34" i="4"/>
  <c r="K136" i="9"/>
  <c r="K177" i="9" s="1"/>
  <c r="K205" i="9" s="1"/>
  <c r="D66" i="4"/>
  <c r="D114" i="18"/>
  <c r="C32" i="7" s="1"/>
  <c r="C33" i="7" s="1"/>
  <c r="C34" i="7" s="1"/>
  <c r="C35" i="7" s="1"/>
  <c r="D113" i="18"/>
  <c r="J23" i="18"/>
  <c r="M23" i="18"/>
  <c r="M114" i="18" s="1"/>
  <c r="L32" i="7" s="1"/>
  <c r="L33" i="7" s="1"/>
  <c r="L34" i="7" s="1"/>
  <c r="L35" i="7" s="1"/>
  <c r="K23" i="18"/>
  <c r="G23" i="18"/>
  <c r="N23" i="18"/>
  <c r="N176" i="18"/>
  <c r="E23" i="18"/>
  <c r="F23" i="18"/>
  <c r="H23" i="18"/>
  <c r="I23" i="18"/>
  <c r="L23" i="18"/>
  <c r="L114" i="18" s="1"/>
  <c r="K32" i="7" s="1"/>
  <c r="K33" i="7" s="1"/>
  <c r="K34" i="7" s="1"/>
  <c r="K35" i="7" s="1"/>
  <c r="M176" i="17"/>
  <c r="N23" i="17"/>
  <c r="N114" i="17" s="1"/>
  <c r="O134" i="9"/>
  <c r="O114" i="9"/>
  <c r="P114" i="9"/>
  <c r="O14" i="7" s="1"/>
  <c r="O15" i="7" s="1"/>
  <c r="O16" i="7" s="1"/>
  <c r="O17" i="7" s="1"/>
  <c r="Q114" i="9"/>
  <c r="P14" i="7" s="1"/>
  <c r="P15" i="7" s="1"/>
  <c r="P16" i="7" s="1"/>
  <c r="P17" i="7" s="1"/>
  <c r="H15" i="7"/>
  <c r="H16" i="7" s="1"/>
  <c r="H17" i="7" s="1"/>
  <c r="I14" i="7"/>
  <c r="I15" i="7" s="1"/>
  <c r="I16" i="7" s="1"/>
  <c r="I17" i="7" s="1"/>
  <c r="E14" i="7"/>
  <c r="E15" i="7" s="1"/>
  <c r="E16" i="7" s="1"/>
  <c r="E17" i="7" s="1"/>
  <c r="G14" i="7"/>
  <c r="G15" i="7" s="1"/>
  <c r="G16" i="7" s="1"/>
  <c r="G17" i="7" s="1"/>
  <c r="F14" i="7"/>
  <c r="F15" i="7" s="1"/>
  <c r="F16" i="7" s="1"/>
  <c r="F17" i="7" s="1"/>
  <c r="J14" i="7"/>
  <c r="J15" i="7" s="1"/>
  <c r="J16" i="7" s="1"/>
  <c r="J17" i="7" s="1"/>
  <c r="D14" i="7"/>
  <c r="D15" i="7" s="1"/>
  <c r="D16" i="7" s="1"/>
  <c r="D17" i="7" s="1"/>
  <c r="M15" i="7"/>
  <c r="M16" i="7" s="1"/>
  <c r="M17" i="7" s="1"/>
  <c r="J136" i="9"/>
  <c r="J177" i="9" s="1"/>
  <c r="J205" i="9" s="1"/>
  <c r="E12" i="4"/>
  <c r="D12" i="4"/>
  <c r="O176" i="9"/>
  <c r="K6" i="4"/>
  <c r="I6" i="4"/>
  <c r="J23" i="17"/>
  <c r="J6" i="4"/>
  <c r="N6" i="4"/>
  <c r="G23" i="17"/>
  <c r="G114" i="17" s="1"/>
  <c r="G6" i="4"/>
  <c r="F6" i="4"/>
  <c r="L6" i="4"/>
  <c r="H6" i="4"/>
  <c r="C26" i="7"/>
  <c r="C17" i="7"/>
  <c r="P23" i="17"/>
  <c r="P114" i="17" s="1"/>
  <c r="P176" i="17"/>
  <c r="R23" i="17"/>
  <c r="R114" i="17" s="1"/>
  <c r="R176" i="17"/>
  <c r="Q23" i="17"/>
  <c r="Q114" i="17" s="1"/>
  <c r="Q176" i="17"/>
  <c r="O23" i="17"/>
  <c r="O114" i="17" s="1"/>
  <c r="O176" i="17"/>
  <c r="N176" i="17"/>
  <c r="M176" i="18"/>
  <c r="K176" i="18"/>
  <c r="L176" i="18"/>
  <c r="F23" i="17"/>
  <c r="F114" i="17" s="1"/>
  <c r="I23" i="17"/>
  <c r="I114" i="17" s="1"/>
  <c r="K23" i="17"/>
  <c r="M23" i="17"/>
  <c r="L23" i="17"/>
  <c r="G23" i="7"/>
  <c r="G24" i="7" s="1"/>
  <c r="G25" i="7" s="1"/>
  <c r="G26" i="7" s="1"/>
  <c r="H136" i="17"/>
  <c r="H177" i="17" s="1"/>
  <c r="H176" i="17"/>
  <c r="E176" i="17"/>
  <c r="E205" i="17" s="1"/>
  <c r="D176" i="17"/>
  <c r="D205" i="17" s="1"/>
  <c r="O135" i="9" l="1"/>
  <c r="N14" i="7"/>
  <c r="L114" i="17"/>
  <c r="J114" i="18"/>
  <c r="I32" i="7" s="1"/>
  <c r="I33" i="7" s="1"/>
  <c r="I34" i="7" s="1"/>
  <c r="I35" i="7" s="1"/>
  <c r="J134" i="18"/>
  <c r="K114" i="17"/>
  <c r="J23" i="7" s="1"/>
  <c r="J24" i="7" s="1"/>
  <c r="J25" i="7" s="1"/>
  <c r="J26" i="7" s="1"/>
  <c r="K134" i="17"/>
  <c r="C205" i="9"/>
  <c r="K114" i="18"/>
  <c r="J32" i="7" s="1"/>
  <c r="J33" i="7" s="1"/>
  <c r="J34" i="7" s="1"/>
  <c r="J35" i="7" s="1"/>
  <c r="K134" i="18"/>
  <c r="K135" i="18" s="1"/>
  <c r="K136" i="18" s="1"/>
  <c r="M114" i="17"/>
  <c r="L23" i="7" s="1"/>
  <c r="L24" i="7" s="1"/>
  <c r="L25" i="7" s="1"/>
  <c r="L26" i="7" s="1"/>
  <c r="M134" i="17"/>
  <c r="N12" i="4"/>
  <c r="F114" i="18"/>
  <c r="E32" i="7" s="1"/>
  <c r="E33" i="7" s="1"/>
  <c r="E34" i="7" s="1"/>
  <c r="E35" i="7" s="1"/>
  <c r="E114" i="18"/>
  <c r="D32" i="7" s="1"/>
  <c r="D33" i="7" s="1"/>
  <c r="D34" i="7" s="1"/>
  <c r="D35" i="7" s="1"/>
  <c r="I134" i="18"/>
  <c r="I135" i="18" s="1"/>
  <c r="I114" i="18"/>
  <c r="H32" i="7" s="1"/>
  <c r="H33" i="7" s="1"/>
  <c r="H34" i="7" s="1"/>
  <c r="H35" i="7" s="1"/>
  <c r="H114" i="18"/>
  <c r="G32" i="7" s="1"/>
  <c r="G33" i="7" s="1"/>
  <c r="G34" i="7" s="1"/>
  <c r="G35" i="7" s="1"/>
  <c r="N114" i="18"/>
  <c r="M32" i="7" s="1"/>
  <c r="M33" i="7" s="1"/>
  <c r="M34" i="7" s="1"/>
  <c r="M35" i="7" s="1"/>
  <c r="G136" i="18"/>
  <c r="G177" i="18" s="1"/>
  <c r="G114" i="18"/>
  <c r="F32" i="7" s="1"/>
  <c r="F33" i="7" s="1"/>
  <c r="F34" i="7" s="1"/>
  <c r="F35" i="7" s="1"/>
  <c r="J114" i="17"/>
  <c r="I23" i="7" s="1"/>
  <c r="I24" i="7" s="1"/>
  <c r="I25" i="7" s="1"/>
  <c r="I26" i="7" s="1"/>
  <c r="J134" i="17"/>
  <c r="N23" i="7"/>
  <c r="N24" i="7" s="1"/>
  <c r="N25" i="7" s="1"/>
  <c r="N26" i="7" s="1"/>
  <c r="P23" i="7"/>
  <c r="P24" i="7" s="1"/>
  <c r="P25" i="7" s="1"/>
  <c r="P26" i="7" s="1"/>
  <c r="O23" i="7"/>
  <c r="O24" i="7" s="1"/>
  <c r="O25" i="7" s="1"/>
  <c r="O26" i="7" s="1"/>
  <c r="M23" i="7"/>
  <c r="M24" i="7" s="1"/>
  <c r="M25" i="7" s="1"/>
  <c r="M26" i="7" s="1"/>
  <c r="N15" i="7"/>
  <c r="N16" i="7" s="1"/>
  <c r="N17" i="7" s="1"/>
  <c r="F12" i="3" s="1"/>
  <c r="E42" i="5" s="1"/>
  <c r="H205" i="17"/>
  <c r="H13" i="4"/>
  <c r="K23" i="7"/>
  <c r="K24" i="7" s="1"/>
  <c r="K25" i="7" s="1"/>
  <c r="K26" i="7" s="1"/>
  <c r="H23" i="7"/>
  <c r="H24" i="7" s="1"/>
  <c r="H25" i="7" s="1"/>
  <c r="H26" i="7" s="1"/>
  <c r="E23" i="7"/>
  <c r="E24" i="7" s="1"/>
  <c r="E25" i="7" s="1"/>
  <c r="E26" i="7" s="1"/>
  <c r="F23" i="7"/>
  <c r="F24" i="7" s="1"/>
  <c r="F25" i="7" s="1"/>
  <c r="F26" i="7" s="1"/>
  <c r="H12" i="4"/>
  <c r="E14" i="4"/>
  <c r="E33" i="4"/>
  <c r="D14" i="4"/>
  <c r="D33" i="4"/>
  <c r="F12" i="4"/>
  <c r="G176" i="17"/>
  <c r="G205" i="17" s="1"/>
  <c r="G12" i="4"/>
  <c r="J12" i="4"/>
  <c r="I12" i="4"/>
  <c r="L176" i="17"/>
  <c r="L205" i="17" s="1"/>
  <c r="L12" i="4"/>
  <c r="K176" i="17"/>
  <c r="K12" i="4"/>
  <c r="K33" i="4" s="1"/>
  <c r="E176" i="18"/>
  <c r="E205" i="18" s="1"/>
  <c r="G176" i="18"/>
  <c r="F176" i="18"/>
  <c r="F205" i="18" s="1"/>
  <c r="H176" i="18"/>
  <c r="H205" i="18" s="1"/>
  <c r="D176" i="18"/>
  <c r="D205" i="18" s="1"/>
  <c r="J176" i="18"/>
  <c r="I176" i="18"/>
  <c r="J176" i="17"/>
  <c r="F176" i="17"/>
  <c r="F205" i="17" s="1"/>
  <c r="I176" i="17"/>
  <c r="I205" i="17" s="1"/>
  <c r="J135" i="17" l="1"/>
  <c r="J35" i="4" s="1"/>
  <c r="J34" i="4"/>
  <c r="M135" i="17"/>
  <c r="N34" i="4"/>
  <c r="N35" i="4"/>
  <c r="O136" i="9"/>
  <c r="O177" i="9" s="1"/>
  <c r="O205" i="9" s="1"/>
  <c r="H48" i="4"/>
  <c r="K135" i="17"/>
  <c r="K34" i="4"/>
  <c r="J135" i="18"/>
  <c r="L34" i="4"/>
  <c r="K177" i="18"/>
  <c r="K205" i="18" s="1"/>
  <c r="G205" i="18"/>
  <c r="M136" i="17"/>
  <c r="I13" i="4"/>
  <c r="I14" i="4" s="1"/>
  <c r="I136" i="18"/>
  <c r="I177" i="18" s="1"/>
  <c r="H12" i="3"/>
  <c r="G42" i="5" s="1"/>
  <c r="H14" i="4"/>
  <c r="N13" i="4"/>
  <c r="N14" i="4" s="1"/>
  <c r="G3" i="7"/>
  <c r="G4" i="7" s="1"/>
  <c r="J136" i="17"/>
  <c r="J177" i="17" s="1"/>
  <c r="J205" i="17" s="1"/>
  <c r="H33" i="4"/>
  <c r="G14" i="4"/>
  <c r="G33" i="4"/>
  <c r="F14" i="4"/>
  <c r="F33" i="4"/>
  <c r="G12" i="3"/>
  <c r="L33" i="4"/>
  <c r="I33" i="4"/>
  <c r="I205" i="18"/>
  <c r="J33" i="4"/>
  <c r="D148" i="17"/>
  <c r="D187" i="17"/>
  <c r="D148" i="18"/>
  <c r="D187" i="18"/>
  <c r="J136" i="18" l="1"/>
  <c r="L35" i="4"/>
  <c r="K136" i="17"/>
  <c r="K177" i="17" s="1"/>
  <c r="K205" i="17" s="1"/>
  <c r="K35" i="4"/>
  <c r="M177" i="17"/>
  <c r="M205" i="17" s="1"/>
  <c r="J13" i="4"/>
  <c r="J14" i="4" s="1"/>
  <c r="K13" i="4"/>
  <c r="K14" i="4" s="1"/>
  <c r="I12" i="3"/>
  <c r="K80" i="4" s="1"/>
  <c r="F42" i="5"/>
  <c r="K9" i="5"/>
  <c r="L9" i="5"/>
  <c r="M9" i="5"/>
  <c r="N9" i="5"/>
  <c r="N33" i="5"/>
  <c r="N59" i="5" s="1"/>
  <c r="L33" i="5"/>
  <c r="M33" i="5"/>
  <c r="M59" i="5" s="1"/>
  <c r="C205" i="17" l="1"/>
  <c r="L13" i="4"/>
  <c r="L14" i="4" s="1"/>
  <c r="J177" i="18"/>
  <c r="J205" i="18" s="1"/>
  <c r="C205" i="18" s="1"/>
  <c r="L59" i="5"/>
  <c r="L61" i="5"/>
  <c r="H42" i="5"/>
  <c r="K42" i="5"/>
  <c r="O42" i="5"/>
  <c r="L42" i="5"/>
  <c r="M42" i="5"/>
  <c r="N42" i="5"/>
  <c r="D128" i="9" l="1"/>
  <c r="O128" i="9"/>
  <c r="L130" i="9"/>
  <c r="L138" i="9" s="1"/>
  <c r="L166" i="9" s="1"/>
  <c r="M130" i="9"/>
  <c r="M138" i="9" s="1"/>
  <c r="M166" i="9" s="1"/>
  <c r="N130" i="9"/>
  <c r="N138" i="9" s="1"/>
  <c r="N166" i="9" s="1"/>
  <c r="O130" i="9"/>
  <c r="O138" i="9" s="1"/>
  <c r="O166" i="9" s="1"/>
  <c r="M128" i="17"/>
  <c r="L130" i="17"/>
  <c r="L138" i="17" s="1"/>
  <c r="L166" i="17" s="1"/>
  <c r="M130" i="17"/>
  <c r="M138" i="17" s="1"/>
  <c r="M166" i="17" s="1"/>
  <c r="K128" i="18"/>
  <c r="K130" i="18"/>
  <c r="K138" i="18" s="1"/>
  <c r="K166" i="18" s="1"/>
  <c r="O7" i="19" s="1"/>
  <c r="N6" i="19"/>
  <c r="O6" i="19"/>
  <c r="O17" i="19"/>
  <c r="O18" i="19"/>
  <c r="E148" i="9"/>
  <c r="E187" i="9"/>
  <c r="E148" i="17"/>
  <c r="E187" i="17"/>
  <c r="E148" i="18"/>
  <c r="E187" i="18"/>
  <c r="J128" i="9"/>
  <c r="H42" i="4" s="1"/>
  <c r="J128" i="17"/>
  <c r="J42" i="4" s="1"/>
  <c r="I128" i="18"/>
  <c r="N42" i="4" l="1"/>
  <c r="S26" i="5"/>
  <c r="T26" i="5"/>
  <c r="U26" i="5"/>
  <c r="V26" i="5"/>
  <c r="S27" i="5"/>
  <c r="T27" i="5"/>
  <c r="U27" i="5"/>
  <c r="V27" i="5"/>
  <c r="S30" i="5"/>
  <c r="T30" i="5"/>
  <c r="U30" i="5"/>
  <c r="V30" i="5"/>
  <c r="S31" i="5"/>
  <c r="T31" i="5"/>
  <c r="U31" i="5"/>
  <c r="V31" i="5"/>
  <c r="S32" i="5"/>
  <c r="T32" i="5"/>
  <c r="U32" i="5"/>
  <c r="V32" i="5"/>
  <c r="S33" i="5"/>
  <c r="T33" i="5"/>
  <c r="U33" i="5"/>
  <c r="V33" i="5"/>
  <c r="E40" i="5"/>
  <c r="F40" i="5"/>
  <c r="G40" i="5"/>
  <c r="H40" i="5"/>
  <c r="K40" i="5"/>
  <c r="L40" i="5"/>
  <c r="M40" i="5"/>
  <c r="N40" i="5"/>
  <c r="O40" i="5"/>
  <c r="E41" i="5"/>
  <c r="F41" i="5"/>
  <c r="G41" i="5"/>
  <c r="H41" i="5"/>
  <c r="K41" i="5"/>
  <c r="L41" i="5"/>
  <c r="M41" i="5"/>
  <c r="N41" i="5"/>
  <c r="O41" i="5"/>
  <c r="E44" i="5"/>
  <c r="F44" i="5"/>
  <c r="G44" i="5"/>
  <c r="H44" i="5"/>
  <c r="K44" i="5"/>
  <c r="L44" i="5"/>
  <c r="M44" i="5"/>
  <c r="N44" i="5"/>
  <c r="O44" i="5"/>
  <c r="E55" i="5"/>
  <c r="F55" i="5"/>
  <c r="G55" i="5"/>
  <c r="H55" i="5"/>
  <c r="K55" i="5"/>
  <c r="L55" i="5"/>
  <c r="M55" i="5"/>
  <c r="N55" i="5"/>
  <c r="O55" i="5"/>
  <c r="E56" i="5"/>
  <c r="F56" i="5"/>
  <c r="G56" i="5"/>
  <c r="H56" i="5"/>
  <c r="K58" i="5"/>
  <c r="L58" i="5"/>
  <c r="M58" i="5"/>
  <c r="N58" i="5"/>
  <c r="O58" i="5"/>
  <c r="K60" i="5"/>
  <c r="L60" i="5"/>
  <c r="O60" i="5"/>
  <c r="D5" i="19"/>
  <c r="E5" i="19"/>
  <c r="F5" i="19"/>
  <c r="G5" i="19"/>
  <c r="H5" i="19"/>
  <c r="I5" i="19"/>
  <c r="J5" i="19"/>
  <c r="K5" i="19"/>
  <c r="L5" i="19"/>
  <c r="M5" i="19"/>
  <c r="N5" i="19"/>
  <c r="O5" i="19"/>
  <c r="F6" i="19"/>
  <c r="G6" i="19"/>
  <c r="H6" i="19"/>
  <c r="I6" i="19"/>
  <c r="J6" i="19"/>
  <c r="K6" i="19"/>
  <c r="L6" i="19"/>
  <c r="M6" i="19"/>
  <c r="H7" i="19"/>
  <c r="I7" i="19"/>
  <c r="J7" i="19"/>
  <c r="K7" i="19"/>
  <c r="L7" i="19"/>
  <c r="M7" i="19"/>
  <c r="N7" i="19"/>
  <c r="D8" i="19"/>
  <c r="E8" i="19"/>
  <c r="F8" i="19"/>
  <c r="G8" i="19"/>
  <c r="H8" i="19"/>
  <c r="I8" i="19"/>
  <c r="J8" i="19"/>
  <c r="K8" i="19"/>
  <c r="L8" i="19"/>
  <c r="M8" i="19"/>
  <c r="N8" i="19"/>
  <c r="O8" i="19"/>
  <c r="C10" i="19"/>
  <c r="C11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F17" i="19"/>
  <c r="G17" i="19"/>
  <c r="H17" i="19"/>
  <c r="I17" i="19"/>
  <c r="J17" i="19"/>
  <c r="K17" i="19"/>
  <c r="L17" i="19"/>
  <c r="M17" i="19"/>
  <c r="N17" i="19"/>
  <c r="H18" i="19"/>
  <c r="I18" i="19"/>
  <c r="J18" i="19"/>
  <c r="K18" i="19"/>
  <c r="L18" i="19"/>
  <c r="M18" i="19"/>
  <c r="N18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C21" i="19"/>
  <c r="C22" i="19"/>
  <c r="C28" i="4"/>
  <c r="D28" i="4"/>
  <c r="E28" i="4"/>
  <c r="F28" i="4"/>
  <c r="G28" i="4"/>
  <c r="H28" i="4"/>
  <c r="I28" i="4"/>
  <c r="J28" i="4"/>
  <c r="K28" i="4"/>
  <c r="L28" i="4"/>
  <c r="N28" i="4"/>
  <c r="C29" i="4"/>
  <c r="D29" i="4"/>
  <c r="E29" i="4"/>
  <c r="F29" i="4"/>
  <c r="G29" i="4"/>
  <c r="H29" i="4"/>
  <c r="I29" i="4"/>
  <c r="J29" i="4"/>
  <c r="K29" i="4"/>
  <c r="L29" i="4"/>
  <c r="N29" i="4"/>
  <c r="C30" i="4"/>
  <c r="D30" i="4"/>
  <c r="E30" i="4"/>
  <c r="F30" i="4"/>
  <c r="G30" i="4"/>
  <c r="H30" i="4"/>
  <c r="I30" i="4"/>
  <c r="J30" i="4"/>
  <c r="K30" i="4"/>
  <c r="L30" i="4"/>
  <c r="N30" i="4"/>
  <c r="C36" i="4"/>
  <c r="D36" i="4"/>
  <c r="E36" i="4"/>
  <c r="F36" i="4"/>
  <c r="G36" i="4"/>
  <c r="H36" i="4"/>
  <c r="I36" i="4"/>
  <c r="J36" i="4"/>
  <c r="K36" i="4"/>
  <c r="L36" i="4"/>
  <c r="N36" i="4"/>
  <c r="C37" i="4"/>
  <c r="D37" i="4"/>
  <c r="E37" i="4"/>
  <c r="F37" i="4"/>
  <c r="G37" i="4"/>
  <c r="H37" i="4"/>
  <c r="I37" i="4"/>
  <c r="J37" i="4"/>
  <c r="K37" i="4"/>
  <c r="L37" i="4"/>
  <c r="N37" i="4"/>
  <c r="D39" i="4"/>
  <c r="E39" i="4"/>
  <c r="F39" i="4"/>
  <c r="G39" i="4"/>
  <c r="H39" i="4"/>
  <c r="I39" i="4"/>
  <c r="J39" i="4"/>
  <c r="C40" i="4"/>
  <c r="D40" i="4"/>
  <c r="E40" i="4"/>
  <c r="F40" i="4"/>
  <c r="G40" i="4"/>
  <c r="H40" i="4"/>
  <c r="I40" i="4"/>
  <c r="J40" i="4"/>
  <c r="K40" i="4"/>
  <c r="L40" i="4"/>
  <c r="N40" i="4"/>
  <c r="C41" i="4"/>
  <c r="D41" i="4"/>
  <c r="E41" i="4"/>
  <c r="F41" i="4"/>
  <c r="G41" i="4"/>
  <c r="H41" i="4"/>
  <c r="I41" i="4"/>
  <c r="J41" i="4"/>
  <c r="K41" i="4"/>
  <c r="L41" i="4"/>
  <c r="N41" i="4"/>
  <c r="I42" i="4"/>
  <c r="K42" i="4"/>
  <c r="L42" i="4"/>
  <c r="C43" i="4"/>
  <c r="D43" i="4"/>
  <c r="E43" i="4"/>
  <c r="F43" i="4"/>
  <c r="G43" i="4"/>
  <c r="H43" i="4"/>
  <c r="I43" i="4"/>
  <c r="J43" i="4"/>
  <c r="K43" i="4"/>
  <c r="L43" i="4"/>
  <c r="N43" i="4"/>
  <c r="D45" i="4"/>
  <c r="D47" i="4"/>
  <c r="D48" i="4"/>
  <c r="C70" i="4"/>
  <c r="E70" i="4"/>
  <c r="C71" i="4"/>
  <c r="E71" i="4"/>
  <c r="K71" i="4"/>
  <c r="M71" i="4"/>
  <c r="C72" i="4"/>
  <c r="E72" i="4"/>
  <c r="C73" i="4"/>
  <c r="E73" i="4"/>
  <c r="C74" i="4"/>
  <c r="E74" i="4"/>
  <c r="K74" i="4"/>
  <c r="M74" i="4"/>
  <c r="M79" i="4"/>
  <c r="M80" i="4"/>
  <c r="M81" i="4"/>
  <c r="M82" i="4"/>
  <c r="M83" i="4"/>
  <c r="M84" i="4"/>
  <c r="E85" i="4"/>
  <c r="K85" i="4"/>
  <c r="E118" i="9"/>
  <c r="F118" i="9"/>
  <c r="G118" i="9"/>
  <c r="H118" i="9"/>
  <c r="I118" i="9"/>
  <c r="J118" i="9"/>
  <c r="K118" i="9"/>
  <c r="L118" i="9"/>
  <c r="M118" i="9"/>
  <c r="N118" i="9"/>
  <c r="O118" i="9"/>
  <c r="P118" i="9"/>
  <c r="Q118" i="9"/>
  <c r="R118" i="9"/>
  <c r="D119" i="9"/>
  <c r="E119" i="9"/>
  <c r="F119" i="9"/>
  <c r="G119" i="9"/>
  <c r="H119" i="9"/>
  <c r="I119" i="9"/>
  <c r="J119" i="9"/>
  <c r="K119" i="9"/>
  <c r="L119" i="9"/>
  <c r="M119" i="9"/>
  <c r="N119" i="9"/>
  <c r="O119" i="9"/>
  <c r="P119" i="9"/>
  <c r="Q119" i="9"/>
  <c r="R119" i="9"/>
  <c r="E120" i="9"/>
  <c r="F120" i="9"/>
  <c r="G120" i="9"/>
  <c r="H120" i="9"/>
  <c r="I120" i="9"/>
  <c r="J120" i="9"/>
  <c r="K120" i="9"/>
  <c r="L120" i="9"/>
  <c r="M120" i="9"/>
  <c r="N120" i="9"/>
  <c r="O120" i="9"/>
  <c r="P120" i="9"/>
  <c r="Q120" i="9"/>
  <c r="R120" i="9"/>
  <c r="D121" i="9"/>
  <c r="E121" i="9"/>
  <c r="F121" i="9"/>
  <c r="G121" i="9"/>
  <c r="H121" i="9"/>
  <c r="I121" i="9"/>
  <c r="J121" i="9"/>
  <c r="K121" i="9"/>
  <c r="L121" i="9"/>
  <c r="M121" i="9"/>
  <c r="N121" i="9"/>
  <c r="O121" i="9"/>
  <c r="P121" i="9"/>
  <c r="Q121" i="9"/>
  <c r="R121" i="9"/>
  <c r="E123" i="9"/>
  <c r="F123" i="9"/>
  <c r="G123" i="9"/>
  <c r="H123" i="9"/>
  <c r="I123" i="9"/>
  <c r="J123" i="9"/>
  <c r="K123" i="9"/>
  <c r="L123" i="9"/>
  <c r="M123" i="9"/>
  <c r="N123" i="9"/>
  <c r="O123" i="9"/>
  <c r="P123" i="9"/>
  <c r="Q123" i="9"/>
  <c r="R123" i="9"/>
  <c r="E124" i="9"/>
  <c r="F124" i="9"/>
  <c r="G124" i="9"/>
  <c r="H124" i="9"/>
  <c r="I124" i="9"/>
  <c r="J124" i="9"/>
  <c r="K124" i="9"/>
  <c r="L124" i="9"/>
  <c r="M124" i="9"/>
  <c r="N124" i="9"/>
  <c r="O124" i="9"/>
  <c r="P124" i="9"/>
  <c r="Q124" i="9"/>
  <c r="R124" i="9"/>
  <c r="D126" i="9"/>
  <c r="E126" i="9"/>
  <c r="F126" i="9"/>
  <c r="G126" i="9"/>
  <c r="H126" i="9"/>
  <c r="I126" i="9"/>
  <c r="J126" i="9"/>
  <c r="K126" i="9"/>
  <c r="L126" i="9"/>
  <c r="M126" i="9"/>
  <c r="N126" i="9"/>
  <c r="O126" i="9"/>
  <c r="P126" i="9"/>
  <c r="Q126" i="9"/>
  <c r="R126" i="9"/>
  <c r="K128" i="9"/>
  <c r="D130" i="9"/>
  <c r="E130" i="9"/>
  <c r="F130" i="9"/>
  <c r="G130" i="9"/>
  <c r="H130" i="9"/>
  <c r="I130" i="9"/>
  <c r="J130" i="9"/>
  <c r="K130" i="9"/>
  <c r="D138" i="9"/>
  <c r="E138" i="9"/>
  <c r="F138" i="9"/>
  <c r="G138" i="9"/>
  <c r="H138" i="9"/>
  <c r="I138" i="9"/>
  <c r="J138" i="9"/>
  <c r="K138" i="9"/>
  <c r="C145" i="9"/>
  <c r="F145" i="9"/>
  <c r="G145" i="9"/>
  <c r="H145" i="9"/>
  <c r="C148" i="9"/>
  <c r="F148" i="9"/>
  <c r="G148" i="9"/>
  <c r="H148" i="9"/>
  <c r="C151" i="9"/>
  <c r="D151" i="9"/>
  <c r="E151" i="9"/>
  <c r="F151" i="9"/>
  <c r="G151" i="9"/>
  <c r="H151" i="9"/>
  <c r="I151" i="9"/>
  <c r="J151" i="9"/>
  <c r="K151" i="9"/>
  <c r="L151" i="9"/>
  <c r="M151" i="9"/>
  <c r="N151" i="9"/>
  <c r="O151" i="9"/>
  <c r="P151" i="9"/>
  <c r="Q151" i="9"/>
  <c r="R151" i="9"/>
  <c r="C152" i="9"/>
  <c r="D152" i="9"/>
  <c r="E152" i="9"/>
  <c r="F152" i="9"/>
  <c r="G152" i="9"/>
  <c r="H152" i="9"/>
  <c r="I152" i="9"/>
  <c r="J152" i="9"/>
  <c r="K152" i="9"/>
  <c r="L152" i="9"/>
  <c r="M152" i="9"/>
  <c r="N152" i="9"/>
  <c r="O152" i="9"/>
  <c r="P152" i="9"/>
  <c r="Q152" i="9"/>
  <c r="R152" i="9"/>
  <c r="C153" i="9"/>
  <c r="D153" i="9"/>
  <c r="E153" i="9"/>
  <c r="F153" i="9"/>
  <c r="G153" i="9"/>
  <c r="H153" i="9"/>
  <c r="I153" i="9"/>
  <c r="J153" i="9"/>
  <c r="K153" i="9"/>
  <c r="L153" i="9"/>
  <c r="M153" i="9"/>
  <c r="N153" i="9"/>
  <c r="O153" i="9"/>
  <c r="P153" i="9"/>
  <c r="Q153" i="9"/>
  <c r="R153" i="9"/>
  <c r="C154" i="9"/>
  <c r="D154" i="9"/>
  <c r="E154" i="9"/>
  <c r="F154" i="9"/>
  <c r="G154" i="9"/>
  <c r="H154" i="9"/>
  <c r="I154" i="9"/>
  <c r="J154" i="9"/>
  <c r="K154" i="9"/>
  <c r="L154" i="9"/>
  <c r="M154" i="9"/>
  <c r="N154" i="9"/>
  <c r="O154" i="9"/>
  <c r="P154" i="9"/>
  <c r="Q154" i="9"/>
  <c r="R154" i="9"/>
  <c r="C155" i="9"/>
  <c r="D155" i="9"/>
  <c r="E155" i="9"/>
  <c r="F155" i="9"/>
  <c r="G155" i="9"/>
  <c r="H155" i="9"/>
  <c r="I155" i="9"/>
  <c r="J155" i="9"/>
  <c r="K155" i="9"/>
  <c r="L155" i="9"/>
  <c r="M155" i="9"/>
  <c r="N155" i="9"/>
  <c r="O155" i="9"/>
  <c r="P155" i="9"/>
  <c r="Q155" i="9"/>
  <c r="R155" i="9"/>
  <c r="C156" i="9"/>
  <c r="D156" i="9"/>
  <c r="E156" i="9"/>
  <c r="F156" i="9"/>
  <c r="G156" i="9"/>
  <c r="H156" i="9"/>
  <c r="I156" i="9"/>
  <c r="J156" i="9"/>
  <c r="K156" i="9"/>
  <c r="L156" i="9"/>
  <c r="M156" i="9"/>
  <c r="N156" i="9"/>
  <c r="O156" i="9"/>
  <c r="P156" i="9"/>
  <c r="Q156" i="9"/>
  <c r="R156" i="9"/>
  <c r="C157" i="9"/>
  <c r="D157" i="9"/>
  <c r="E157" i="9"/>
  <c r="F157" i="9"/>
  <c r="G157" i="9"/>
  <c r="H157" i="9"/>
  <c r="I157" i="9"/>
  <c r="J157" i="9"/>
  <c r="K157" i="9"/>
  <c r="L157" i="9"/>
  <c r="M157" i="9"/>
  <c r="N157" i="9"/>
  <c r="O157" i="9"/>
  <c r="P157" i="9"/>
  <c r="Q157" i="9"/>
  <c r="R157" i="9"/>
  <c r="C158" i="9"/>
  <c r="D158" i="9"/>
  <c r="E158" i="9"/>
  <c r="F158" i="9"/>
  <c r="G158" i="9"/>
  <c r="H158" i="9"/>
  <c r="I158" i="9"/>
  <c r="J158" i="9"/>
  <c r="K158" i="9"/>
  <c r="L158" i="9"/>
  <c r="M158" i="9"/>
  <c r="N158" i="9"/>
  <c r="O158" i="9"/>
  <c r="P158" i="9"/>
  <c r="Q158" i="9"/>
  <c r="R158" i="9"/>
  <c r="C159" i="9"/>
  <c r="D159" i="9"/>
  <c r="E159" i="9"/>
  <c r="F159" i="9"/>
  <c r="G159" i="9"/>
  <c r="H159" i="9"/>
  <c r="I159" i="9"/>
  <c r="J159" i="9"/>
  <c r="K159" i="9"/>
  <c r="L159" i="9"/>
  <c r="M159" i="9"/>
  <c r="N159" i="9"/>
  <c r="O159" i="9"/>
  <c r="P159" i="9"/>
  <c r="Q159" i="9"/>
  <c r="R159" i="9"/>
  <c r="C160" i="9"/>
  <c r="D160" i="9"/>
  <c r="E160" i="9"/>
  <c r="F160" i="9"/>
  <c r="G160" i="9"/>
  <c r="H160" i="9"/>
  <c r="I160" i="9"/>
  <c r="J160" i="9"/>
  <c r="K160" i="9"/>
  <c r="L160" i="9"/>
  <c r="M160" i="9"/>
  <c r="N160" i="9"/>
  <c r="O160" i="9"/>
  <c r="P160" i="9"/>
  <c r="Q160" i="9"/>
  <c r="R160" i="9"/>
  <c r="C162" i="9"/>
  <c r="D162" i="9"/>
  <c r="E162" i="9"/>
  <c r="F162" i="9"/>
  <c r="G162" i="9"/>
  <c r="H162" i="9"/>
  <c r="I162" i="9"/>
  <c r="J162" i="9"/>
  <c r="K162" i="9"/>
  <c r="L162" i="9"/>
  <c r="M162" i="9"/>
  <c r="N162" i="9"/>
  <c r="O162" i="9"/>
  <c r="P162" i="9"/>
  <c r="Q162" i="9"/>
  <c r="R162" i="9"/>
  <c r="C165" i="9"/>
  <c r="D165" i="9"/>
  <c r="E165" i="9"/>
  <c r="F165" i="9"/>
  <c r="G165" i="9"/>
  <c r="H165" i="9"/>
  <c r="I165" i="9"/>
  <c r="J165" i="9"/>
  <c r="K165" i="9"/>
  <c r="L165" i="9"/>
  <c r="M165" i="9"/>
  <c r="N165" i="9"/>
  <c r="O165" i="9"/>
  <c r="P165" i="9"/>
  <c r="Q165" i="9"/>
  <c r="R165" i="9"/>
  <c r="C166" i="9"/>
  <c r="D166" i="9"/>
  <c r="E166" i="9"/>
  <c r="F166" i="9"/>
  <c r="G166" i="9"/>
  <c r="H166" i="9"/>
  <c r="I166" i="9"/>
  <c r="J166" i="9"/>
  <c r="K166" i="9"/>
  <c r="C167" i="9"/>
  <c r="D167" i="9"/>
  <c r="E167" i="9"/>
  <c r="F167" i="9"/>
  <c r="G167" i="9"/>
  <c r="H167" i="9"/>
  <c r="I167" i="9"/>
  <c r="J167" i="9"/>
  <c r="K167" i="9"/>
  <c r="L167" i="9"/>
  <c r="M167" i="9"/>
  <c r="N167" i="9"/>
  <c r="O167" i="9"/>
  <c r="P167" i="9"/>
  <c r="Q167" i="9"/>
  <c r="R167" i="9"/>
  <c r="C169" i="9"/>
  <c r="C170" i="9"/>
  <c r="C184" i="9"/>
  <c r="F184" i="9"/>
  <c r="G184" i="9"/>
  <c r="H184" i="9"/>
  <c r="C187" i="9"/>
  <c r="F187" i="9"/>
  <c r="G187" i="9"/>
  <c r="H187" i="9"/>
  <c r="C190" i="9"/>
  <c r="D190" i="9"/>
  <c r="E190" i="9"/>
  <c r="F190" i="9"/>
  <c r="G190" i="9"/>
  <c r="H190" i="9"/>
  <c r="I190" i="9"/>
  <c r="J190" i="9"/>
  <c r="K190" i="9"/>
  <c r="L190" i="9"/>
  <c r="M190" i="9"/>
  <c r="N190" i="9"/>
  <c r="O190" i="9"/>
  <c r="P190" i="9"/>
  <c r="Q190" i="9"/>
  <c r="R190" i="9"/>
  <c r="C191" i="9"/>
  <c r="D191" i="9"/>
  <c r="E191" i="9"/>
  <c r="F191" i="9"/>
  <c r="G191" i="9"/>
  <c r="H191" i="9"/>
  <c r="I191" i="9"/>
  <c r="J191" i="9"/>
  <c r="K191" i="9"/>
  <c r="L191" i="9"/>
  <c r="M191" i="9"/>
  <c r="N191" i="9"/>
  <c r="O191" i="9"/>
  <c r="P191" i="9"/>
  <c r="Q191" i="9"/>
  <c r="R191" i="9"/>
  <c r="C192" i="9"/>
  <c r="D192" i="9"/>
  <c r="E192" i="9"/>
  <c r="F192" i="9"/>
  <c r="G192" i="9"/>
  <c r="H192" i="9"/>
  <c r="I192" i="9"/>
  <c r="J192" i="9"/>
  <c r="K192" i="9"/>
  <c r="L192" i="9"/>
  <c r="M192" i="9"/>
  <c r="N192" i="9"/>
  <c r="O192" i="9"/>
  <c r="P192" i="9"/>
  <c r="Q192" i="9"/>
  <c r="R192" i="9"/>
  <c r="C193" i="9"/>
  <c r="D193" i="9"/>
  <c r="E193" i="9"/>
  <c r="F193" i="9"/>
  <c r="G193" i="9"/>
  <c r="H193" i="9"/>
  <c r="I193" i="9"/>
  <c r="J193" i="9"/>
  <c r="K193" i="9"/>
  <c r="L193" i="9"/>
  <c r="M193" i="9"/>
  <c r="N193" i="9"/>
  <c r="O193" i="9"/>
  <c r="P193" i="9"/>
  <c r="Q193" i="9"/>
  <c r="R193" i="9"/>
  <c r="C194" i="9"/>
  <c r="D194" i="9"/>
  <c r="E194" i="9"/>
  <c r="F194" i="9"/>
  <c r="G194" i="9"/>
  <c r="H194" i="9"/>
  <c r="I194" i="9"/>
  <c r="J194" i="9"/>
  <c r="K194" i="9"/>
  <c r="L194" i="9"/>
  <c r="M194" i="9"/>
  <c r="N194" i="9"/>
  <c r="O194" i="9"/>
  <c r="P194" i="9"/>
  <c r="Q194" i="9"/>
  <c r="R194" i="9"/>
  <c r="C195" i="9"/>
  <c r="D195" i="9"/>
  <c r="E195" i="9"/>
  <c r="F195" i="9"/>
  <c r="G195" i="9"/>
  <c r="H195" i="9"/>
  <c r="I195" i="9"/>
  <c r="J195" i="9"/>
  <c r="K195" i="9"/>
  <c r="L195" i="9"/>
  <c r="M195" i="9"/>
  <c r="N195" i="9"/>
  <c r="O195" i="9"/>
  <c r="P195" i="9"/>
  <c r="Q195" i="9"/>
  <c r="R195" i="9"/>
  <c r="C196" i="9"/>
  <c r="D196" i="9"/>
  <c r="E196" i="9"/>
  <c r="F196" i="9"/>
  <c r="G196" i="9"/>
  <c r="H196" i="9"/>
  <c r="I196" i="9"/>
  <c r="J196" i="9"/>
  <c r="K196" i="9"/>
  <c r="L196" i="9"/>
  <c r="M196" i="9"/>
  <c r="N196" i="9"/>
  <c r="O196" i="9"/>
  <c r="P196" i="9"/>
  <c r="Q196" i="9"/>
  <c r="R196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C199" i="9"/>
  <c r="D199" i="9"/>
  <c r="E199" i="9"/>
  <c r="F199" i="9"/>
  <c r="G199" i="9"/>
  <c r="H199" i="9"/>
  <c r="I199" i="9"/>
  <c r="J199" i="9"/>
  <c r="K199" i="9"/>
  <c r="L199" i="9"/>
  <c r="M199" i="9"/>
  <c r="N199" i="9"/>
  <c r="O199" i="9"/>
  <c r="P199" i="9"/>
  <c r="Q199" i="9"/>
  <c r="R199" i="9"/>
  <c r="C201" i="9"/>
  <c r="D201" i="9"/>
  <c r="E201" i="9"/>
  <c r="F201" i="9"/>
  <c r="G201" i="9"/>
  <c r="H201" i="9"/>
  <c r="I201" i="9"/>
  <c r="J201" i="9"/>
  <c r="K201" i="9"/>
  <c r="L201" i="9"/>
  <c r="M201" i="9"/>
  <c r="N201" i="9"/>
  <c r="O201" i="9"/>
  <c r="P201" i="9"/>
  <c r="Q201" i="9"/>
  <c r="R201" i="9"/>
  <c r="C204" i="9"/>
  <c r="D204" i="9"/>
  <c r="E204" i="9"/>
  <c r="F204" i="9"/>
  <c r="G204" i="9"/>
  <c r="H204" i="9"/>
  <c r="I204" i="9"/>
  <c r="J204" i="9"/>
  <c r="K204" i="9"/>
  <c r="L204" i="9"/>
  <c r="M204" i="9"/>
  <c r="N204" i="9"/>
  <c r="O204" i="9"/>
  <c r="P204" i="9"/>
  <c r="Q204" i="9"/>
  <c r="R204" i="9"/>
  <c r="C206" i="9"/>
  <c r="D206" i="9"/>
  <c r="E206" i="9"/>
  <c r="F206" i="9"/>
  <c r="G206" i="9"/>
  <c r="H206" i="9"/>
  <c r="I206" i="9"/>
  <c r="J206" i="9"/>
  <c r="K206" i="9"/>
  <c r="L206" i="9"/>
  <c r="M206" i="9"/>
  <c r="N206" i="9"/>
  <c r="O206" i="9"/>
  <c r="P206" i="9"/>
  <c r="Q206" i="9"/>
  <c r="R206" i="9"/>
  <c r="C208" i="9"/>
  <c r="C209" i="9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K128" i="17"/>
  <c r="D130" i="17"/>
  <c r="E130" i="17"/>
  <c r="F130" i="17"/>
  <c r="G130" i="17"/>
  <c r="H130" i="17"/>
  <c r="I130" i="17"/>
  <c r="J130" i="17"/>
  <c r="K130" i="17"/>
  <c r="D138" i="17"/>
  <c r="E138" i="17"/>
  <c r="F138" i="17"/>
  <c r="G138" i="17"/>
  <c r="H138" i="17"/>
  <c r="I138" i="17"/>
  <c r="J138" i="17"/>
  <c r="K138" i="17"/>
  <c r="C145" i="17"/>
  <c r="F145" i="17"/>
  <c r="G145" i="17"/>
  <c r="H145" i="17"/>
  <c r="C148" i="17"/>
  <c r="F148" i="17"/>
  <c r="G148" i="17"/>
  <c r="H148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C166" i="17"/>
  <c r="D166" i="17"/>
  <c r="E166" i="17"/>
  <c r="F166" i="17"/>
  <c r="G166" i="17"/>
  <c r="H166" i="17"/>
  <c r="I166" i="17"/>
  <c r="J166" i="17"/>
  <c r="K166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C169" i="17"/>
  <c r="C170" i="17"/>
  <c r="C184" i="17"/>
  <c r="F184" i="17"/>
  <c r="G184" i="17"/>
  <c r="H184" i="17"/>
  <c r="C187" i="17"/>
  <c r="F187" i="17"/>
  <c r="G187" i="17"/>
  <c r="H187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C208" i="17"/>
  <c r="C209" i="17"/>
  <c r="E118" i="18"/>
  <c r="F118" i="18"/>
  <c r="G118" i="18"/>
  <c r="H118" i="18"/>
  <c r="I118" i="18"/>
  <c r="J118" i="18"/>
  <c r="K118" i="18"/>
  <c r="L118" i="18"/>
  <c r="M118" i="18"/>
  <c r="N118" i="18"/>
  <c r="O118" i="18"/>
  <c r="P118" i="18"/>
  <c r="Q118" i="18"/>
  <c r="R118" i="18"/>
  <c r="D119" i="18"/>
  <c r="E119" i="18"/>
  <c r="F119" i="18"/>
  <c r="G119" i="18"/>
  <c r="H119" i="18"/>
  <c r="I119" i="18"/>
  <c r="J119" i="18"/>
  <c r="K119" i="18"/>
  <c r="L119" i="18"/>
  <c r="M119" i="18"/>
  <c r="N119" i="18"/>
  <c r="O119" i="18"/>
  <c r="P119" i="18"/>
  <c r="Q119" i="18"/>
  <c r="R119" i="18"/>
  <c r="E120" i="18"/>
  <c r="F120" i="18"/>
  <c r="G120" i="18"/>
  <c r="H120" i="18"/>
  <c r="I120" i="18"/>
  <c r="J120" i="18"/>
  <c r="K120" i="18"/>
  <c r="L120" i="18"/>
  <c r="M120" i="18"/>
  <c r="N120" i="18"/>
  <c r="O120" i="18"/>
  <c r="P120" i="18"/>
  <c r="Q120" i="18"/>
  <c r="R120" i="18"/>
  <c r="D121" i="18"/>
  <c r="E121" i="18"/>
  <c r="F121" i="18"/>
  <c r="G121" i="18"/>
  <c r="H121" i="18"/>
  <c r="I121" i="18"/>
  <c r="J121" i="18"/>
  <c r="K121" i="18"/>
  <c r="L121" i="18"/>
  <c r="M121" i="18"/>
  <c r="N121" i="18"/>
  <c r="O121" i="18"/>
  <c r="P121" i="18"/>
  <c r="Q121" i="18"/>
  <c r="R121" i="18"/>
  <c r="E123" i="18"/>
  <c r="F123" i="18"/>
  <c r="G123" i="18"/>
  <c r="H123" i="18"/>
  <c r="I123" i="18"/>
  <c r="J123" i="18"/>
  <c r="K123" i="18"/>
  <c r="L123" i="18"/>
  <c r="M123" i="18"/>
  <c r="N123" i="18"/>
  <c r="O123" i="18"/>
  <c r="P123" i="18"/>
  <c r="Q123" i="18"/>
  <c r="R123" i="18"/>
  <c r="E124" i="18"/>
  <c r="F124" i="18"/>
  <c r="G124" i="18"/>
  <c r="H124" i="18"/>
  <c r="I124" i="18"/>
  <c r="J124" i="18"/>
  <c r="K124" i="18"/>
  <c r="L124" i="18"/>
  <c r="M124" i="18"/>
  <c r="N124" i="18"/>
  <c r="O124" i="18"/>
  <c r="P124" i="18"/>
  <c r="Q124" i="18"/>
  <c r="R124" i="18"/>
  <c r="D126" i="18"/>
  <c r="E126" i="18"/>
  <c r="F126" i="18"/>
  <c r="G126" i="18"/>
  <c r="H126" i="18"/>
  <c r="I126" i="18"/>
  <c r="J126" i="18"/>
  <c r="K126" i="18"/>
  <c r="L126" i="18"/>
  <c r="M126" i="18"/>
  <c r="N126" i="18"/>
  <c r="O126" i="18"/>
  <c r="P126" i="18"/>
  <c r="Q126" i="18"/>
  <c r="R126" i="18"/>
  <c r="J128" i="18"/>
  <c r="D130" i="18"/>
  <c r="E130" i="18"/>
  <c r="F130" i="18"/>
  <c r="G130" i="18"/>
  <c r="H130" i="18"/>
  <c r="I130" i="18"/>
  <c r="J130" i="18"/>
  <c r="D138" i="18"/>
  <c r="E138" i="18"/>
  <c r="F138" i="18"/>
  <c r="G138" i="18"/>
  <c r="H138" i="18"/>
  <c r="I138" i="18"/>
  <c r="J138" i="18"/>
  <c r="C145" i="18"/>
  <c r="F145" i="18"/>
  <c r="G145" i="18"/>
  <c r="H145" i="18"/>
  <c r="C148" i="18"/>
  <c r="F148" i="18"/>
  <c r="G148" i="18"/>
  <c r="H148" i="18"/>
  <c r="C151" i="18"/>
  <c r="D151" i="18"/>
  <c r="E151" i="18"/>
  <c r="F151" i="18"/>
  <c r="G151" i="18"/>
  <c r="H151" i="18"/>
  <c r="I151" i="18"/>
  <c r="J151" i="18"/>
  <c r="K151" i="18"/>
  <c r="L151" i="18"/>
  <c r="M151" i="18"/>
  <c r="N151" i="18"/>
  <c r="O151" i="18"/>
  <c r="P151" i="18"/>
  <c r="Q151" i="18"/>
  <c r="R151" i="18"/>
  <c r="C152" i="18"/>
  <c r="D152" i="18"/>
  <c r="E152" i="18"/>
  <c r="F152" i="18"/>
  <c r="G152" i="18"/>
  <c r="H152" i="18"/>
  <c r="I152" i="18"/>
  <c r="J152" i="18"/>
  <c r="K152" i="18"/>
  <c r="L152" i="18"/>
  <c r="M152" i="18"/>
  <c r="N152" i="18"/>
  <c r="O152" i="18"/>
  <c r="P152" i="18"/>
  <c r="Q152" i="18"/>
  <c r="R152" i="18"/>
  <c r="C153" i="18"/>
  <c r="D153" i="18"/>
  <c r="E153" i="18"/>
  <c r="F153" i="18"/>
  <c r="G153" i="18"/>
  <c r="H153" i="18"/>
  <c r="I153" i="18"/>
  <c r="J153" i="18"/>
  <c r="K153" i="18"/>
  <c r="L153" i="18"/>
  <c r="M153" i="18"/>
  <c r="N153" i="18"/>
  <c r="O153" i="18"/>
  <c r="P153" i="18"/>
  <c r="Q153" i="18"/>
  <c r="R153" i="18"/>
  <c r="C154" i="18"/>
  <c r="D154" i="18"/>
  <c r="E154" i="18"/>
  <c r="F154" i="18"/>
  <c r="G154" i="18"/>
  <c r="H154" i="18"/>
  <c r="I154" i="18"/>
  <c r="J154" i="18"/>
  <c r="K154" i="18"/>
  <c r="L154" i="18"/>
  <c r="M154" i="18"/>
  <c r="N154" i="18"/>
  <c r="O154" i="18"/>
  <c r="P154" i="18"/>
  <c r="Q154" i="18"/>
  <c r="R154" i="18"/>
  <c r="C155" i="18"/>
  <c r="D155" i="18"/>
  <c r="E155" i="18"/>
  <c r="F155" i="18"/>
  <c r="G155" i="18"/>
  <c r="H155" i="18"/>
  <c r="I155" i="18"/>
  <c r="J155" i="18"/>
  <c r="K155" i="18"/>
  <c r="L155" i="18"/>
  <c r="M155" i="18"/>
  <c r="N155" i="18"/>
  <c r="O155" i="18"/>
  <c r="P155" i="18"/>
  <c r="Q155" i="18"/>
  <c r="R155" i="18"/>
  <c r="C156" i="18"/>
  <c r="D156" i="18"/>
  <c r="E156" i="18"/>
  <c r="F156" i="18"/>
  <c r="G156" i="18"/>
  <c r="H156" i="18"/>
  <c r="I156" i="18"/>
  <c r="J156" i="18"/>
  <c r="K156" i="18"/>
  <c r="L156" i="18"/>
  <c r="M156" i="18"/>
  <c r="N156" i="18"/>
  <c r="O156" i="18"/>
  <c r="P156" i="18"/>
  <c r="Q156" i="18"/>
  <c r="R156" i="18"/>
  <c r="C157" i="18"/>
  <c r="D157" i="18"/>
  <c r="E157" i="18"/>
  <c r="F157" i="18"/>
  <c r="G157" i="18"/>
  <c r="H157" i="18"/>
  <c r="I157" i="18"/>
  <c r="J157" i="18"/>
  <c r="K157" i="18"/>
  <c r="L157" i="18"/>
  <c r="M157" i="18"/>
  <c r="N157" i="18"/>
  <c r="O157" i="18"/>
  <c r="P157" i="18"/>
  <c r="Q157" i="18"/>
  <c r="R157" i="18"/>
  <c r="C158" i="18"/>
  <c r="D158" i="18"/>
  <c r="E158" i="18"/>
  <c r="F158" i="18"/>
  <c r="G158" i="18"/>
  <c r="H158" i="18"/>
  <c r="I158" i="18"/>
  <c r="J158" i="18"/>
  <c r="K158" i="18"/>
  <c r="L158" i="18"/>
  <c r="M158" i="18"/>
  <c r="N158" i="18"/>
  <c r="O158" i="18"/>
  <c r="P158" i="18"/>
  <c r="Q158" i="18"/>
  <c r="R158" i="18"/>
  <c r="C159" i="18"/>
  <c r="D159" i="18"/>
  <c r="E159" i="18"/>
  <c r="F159" i="18"/>
  <c r="G159" i="18"/>
  <c r="H159" i="18"/>
  <c r="I159" i="18"/>
  <c r="J159" i="18"/>
  <c r="K159" i="18"/>
  <c r="L159" i="18"/>
  <c r="M159" i="18"/>
  <c r="N159" i="18"/>
  <c r="O159" i="18"/>
  <c r="P159" i="18"/>
  <c r="Q159" i="18"/>
  <c r="R159" i="18"/>
  <c r="C160" i="18"/>
  <c r="D160" i="18"/>
  <c r="E160" i="18"/>
  <c r="F160" i="18"/>
  <c r="G160" i="18"/>
  <c r="H160" i="18"/>
  <c r="I160" i="18"/>
  <c r="J160" i="18"/>
  <c r="K160" i="18"/>
  <c r="L160" i="18"/>
  <c r="M160" i="18"/>
  <c r="N160" i="18"/>
  <c r="O160" i="18"/>
  <c r="P160" i="18"/>
  <c r="Q160" i="18"/>
  <c r="R160" i="18"/>
  <c r="C162" i="18"/>
  <c r="D162" i="18"/>
  <c r="E162" i="18"/>
  <c r="F162" i="18"/>
  <c r="G162" i="18"/>
  <c r="H162" i="18"/>
  <c r="I162" i="18"/>
  <c r="J162" i="18"/>
  <c r="K162" i="18"/>
  <c r="L162" i="18"/>
  <c r="M162" i="18"/>
  <c r="N162" i="18"/>
  <c r="O162" i="18"/>
  <c r="P162" i="18"/>
  <c r="Q162" i="18"/>
  <c r="R162" i="18"/>
  <c r="C165" i="18"/>
  <c r="D165" i="18"/>
  <c r="E165" i="18"/>
  <c r="F165" i="18"/>
  <c r="G165" i="18"/>
  <c r="H165" i="18"/>
  <c r="I165" i="18"/>
  <c r="J165" i="18"/>
  <c r="K165" i="18"/>
  <c r="L165" i="18"/>
  <c r="M165" i="18"/>
  <c r="N165" i="18"/>
  <c r="O165" i="18"/>
  <c r="P165" i="18"/>
  <c r="Q165" i="18"/>
  <c r="R165" i="18"/>
  <c r="C166" i="18"/>
  <c r="D166" i="18"/>
  <c r="E166" i="18"/>
  <c r="F166" i="18"/>
  <c r="G166" i="18"/>
  <c r="H166" i="18"/>
  <c r="I166" i="18"/>
  <c r="J166" i="18"/>
  <c r="C167" i="18"/>
  <c r="D167" i="18"/>
  <c r="E167" i="18"/>
  <c r="F167" i="18"/>
  <c r="G167" i="18"/>
  <c r="H167" i="18"/>
  <c r="I167" i="18"/>
  <c r="J167" i="18"/>
  <c r="K167" i="18"/>
  <c r="L167" i="18"/>
  <c r="M167" i="18"/>
  <c r="N167" i="18"/>
  <c r="O167" i="18"/>
  <c r="P167" i="18"/>
  <c r="Q167" i="18"/>
  <c r="R167" i="18"/>
  <c r="C169" i="18"/>
  <c r="C170" i="18"/>
  <c r="C184" i="18"/>
  <c r="F184" i="18"/>
  <c r="G184" i="18"/>
  <c r="H184" i="18"/>
  <c r="C187" i="18"/>
  <c r="F187" i="18"/>
  <c r="G187" i="18"/>
  <c r="H187" i="18"/>
  <c r="C190" i="18"/>
  <c r="D190" i="18"/>
  <c r="E190" i="18"/>
  <c r="F190" i="18"/>
  <c r="G190" i="18"/>
  <c r="H190" i="18"/>
  <c r="I190" i="18"/>
  <c r="J190" i="18"/>
  <c r="K190" i="18"/>
  <c r="L190" i="18"/>
  <c r="M190" i="18"/>
  <c r="N190" i="18"/>
  <c r="O190" i="18"/>
  <c r="P190" i="18"/>
  <c r="Q190" i="18"/>
  <c r="R190" i="18"/>
  <c r="C191" i="18"/>
  <c r="D191" i="18"/>
  <c r="E191" i="18"/>
  <c r="F191" i="18"/>
  <c r="G191" i="18"/>
  <c r="H191" i="18"/>
  <c r="I191" i="18"/>
  <c r="J191" i="18"/>
  <c r="K191" i="18"/>
  <c r="L191" i="18"/>
  <c r="M191" i="18"/>
  <c r="N191" i="18"/>
  <c r="O191" i="18"/>
  <c r="P191" i="18"/>
  <c r="Q191" i="18"/>
  <c r="R191" i="18"/>
  <c r="C192" i="18"/>
  <c r="D192" i="18"/>
  <c r="E192" i="18"/>
  <c r="F192" i="18"/>
  <c r="G192" i="18"/>
  <c r="H192" i="18"/>
  <c r="I192" i="18"/>
  <c r="J192" i="18"/>
  <c r="K192" i="18"/>
  <c r="L192" i="18"/>
  <c r="M192" i="18"/>
  <c r="N192" i="18"/>
  <c r="O192" i="18"/>
  <c r="P192" i="18"/>
  <c r="Q192" i="18"/>
  <c r="R192" i="18"/>
  <c r="C193" i="18"/>
  <c r="D193" i="18"/>
  <c r="E193" i="18"/>
  <c r="F193" i="18"/>
  <c r="G193" i="18"/>
  <c r="H193" i="18"/>
  <c r="I193" i="18"/>
  <c r="J193" i="18"/>
  <c r="K193" i="18"/>
  <c r="L193" i="18"/>
  <c r="M193" i="18"/>
  <c r="N193" i="18"/>
  <c r="O193" i="18"/>
  <c r="P193" i="18"/>
  <c r="Q193" i="18"/>
  <c r="R193" i="18"/>
  <c r="C194" i="18"/>
  <c r="D194" i="18"/>
  <c r="E194" i="18"/>
  <c r="F194" i="18"/>
  <c r="G194" i="18"/>
  <c r="H194" i="18"/>
  <c r="I194" i="18"/>
  <c r="J194" i="18"/>
  <c r="K194" i="18"/>
  <c r="L194" i="18"/>
  <c r="M194" i="18"/>
  <c r="N194" i="18"/>
  <c r="O194" i="18"/>
  <c r="P194" i="18"/>
  <c r="Q194" i="18"/>
  <c r="R194" i="18"/>
  <c r="C195" i="18"/>
  <c r="D195" i="18"/>
  <c r="E195" i="18"/>
  <c r="F195" i="18"/>
  <c r="G195" i="18"/>
  <c r="H195" i="18"/>
  <c r="I195" i="18"/>
  <c r="J195" i="18"/>
  <c r="K195" i="18"/>
  <c r="L195" i="18"/>
  <c r="M195" i="18"/>
  <c r="N195" i="18"/>
  <c r="O195" i="18"/>
  <c r="P195" i="18"/>
  <c r="Q195" i="18"/>
  <c r="R195" i="18"/>
  <c r="C196" i="18"/>
  <c r="D196" i="18"/>
  <c r="E196" i="18"/>
  <c r="F196" i="18"/>
  <c r="G196" i="18"/>
  <c r="H196" i="18"/>
  <c r="I196" i="18"/>
  <c r="J196" i="18"/>
  <c r="K196" i="18"/>
  <c r="L196" i="18"/>
  <c r="M196" i="18"/>
  <c r="N196" i="18"/>
  <c r="O196" i="18"/>
  <c r="P196" i="18"/>
  <c r="Q196" i="18"/>
  <c r="R196" i="18"/>
  <c r="C198" i="18"/>
  <c r="D198" i="18"/>
  <c r="E198" i="18"/>
  <c r="F198" i="18"/>
  <c r="G198" i="18"/>
  <c r="H198" i="18"/>
  <c r="I198" i="18"/>
  <c r="J198" i="18"/>
  <c r="K198" i="18"/>
  <c r="L198" i="18"/>
  <c r="M198" i="18"/>
  <c r="N198" i="18"/>
  <c r="O198" i="18"/>
  <c r="P198" i="18"/>
  <c r="Q198" i="18"/>
  <c r="R198" i="18"/>
  <c r="C199" i="18"/>
  <c r="D199" i="18"/>
  <c r="E199" i="18"/>
  <c r="F199" i="18"/>
  <c r="G199" i="18"/>
  <c r="H199" i="18"/>
  <c r="I199" i="18"/>
  <c r="J199" i="18"/>
  <c r="K199" i="18"/>
  <c r="L199" i="18"/>
  <c r="M199" i="18"/>
  <c r="N199" i="18"/>
  <c r="O199" i="18"/>
  <c r="P199" i="18"/>
  <c r="Q199" i="18"/>
  <c r="R199" i="18"/>
  <c r="C201" i="18"/>
  <c r="D201" i="18"/>
  <c r="E201" i="18"/>
  <c r="F201" i="18"/>
  <c r="G201" i="18"/>
  <c r="H201" i="18"/>
  <c r="I201" i="18"/>
  <c r="J201" i="18"/>
  <c r="K201" i="18"/>
  <c r="L201" i="18"/>
  <c r="M201" i="18"/>
  <c r="N201" i="18"/>
  <c r="O201" i="18"/>
  <c r="P201" i="18"/>
  <c r="Q201" i="18"/>
  <c r="R201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C208" i="18"/>
  <c r="C209" i="18"/>
  <c r="F3" i="3"/>
  <c r="G3" i="3"/>
  <c r="H3" i="3"/>
  <c r="I3" i="3"/>
  <c r="J3" i="3"/>
  <c r="J4" i="3"/>
  <c r="J5" i="3"/>
  <c r="J6" i="3"/>
  <c r="J8" i="3"/>
  <c r="J10" i="3"/>
  <c r="F11" i="3"/>
  <c r="G11" i="3"/>
  <c r="H11" i="3"/>
  <c r="I11" i="3"/>
  <c r="J11" i="3"/>
  <c r="J12" i="3"/>
  <c r="F14" i="3"/>
  <c r="G14" i="3"/>
  <c r="H14" i="3"/>
  <c r="I14" i="3"/>
  <c r="J14" i="3"/>
  <c r="J17" i="3"/>
  <c r="J18" i="3"/>
  <c r="J19" i="3"/>
  <c r="J20" i="3"/>
  <c r="F21" i="3"/>
  <c r="G21" i="3"/>
  <c r="H21" i="3"/>
  <c r="I21" i="3"/>
  <c r="J21" i="3"/>
  <c r="J22" i="3"/>
  <c r="J23" i="3"/>
  <c r="F24" i="3"/>
  <c r="G24" i="3"/>
  <c r="H24" i="3"/>
  <c r="I24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tc={57FFDB91-38CC-2547-9B51-85A1A9729CFA}</author>
  </authors>
  <commentList>
    <comment ref="N1" authorId="0" shapeId="0" xr:uid="{57FFDB91-38CC-2547-9B51-85A1A9729CFA}">
      <text>
        <t>[Threaded comment]
Your version of Excel allows you to read this threaded comment; however, any edits to it will get removed if the file is opened in a newer version of Excel. Learn more: https://go.microsoft.com/fwlink/?linkid=870924
Comment:
    Enter Team Code and then erase this comment. You can also add your team code by editing Page Layout &gt; Print Tiles &gt; Header.</t>
      </text>
    </comment>
  </commentList>
</comments>
</file>

<file path=xl/sharedStrings.xml><?xml version="1.0" encoding="utf-8"?>
<sst xmlns="http://schemas.openxmlformats.org/spreadsheetml/2006/main" count="1553" uniqueCount="466">
  <si>
    <t>Summary Pro Forma</t>
  </si>
  <si>
    <t>The Stack</t>
  </si>
  <si>
    <t>Team</t>
  </si>
  <si>
    <t>2022-4883</t>
  </si>
  <si>
    <t>Year 0</t>
  </si>
  <si>
    <t xml:space="preserve">Net Operating Income </t>
  </si>
  <si>
    <t>Market Rate Multifamily</t>
  </si>
  <si>
    <t>Affordable Multifamily</t>
  </si>
  <si>
    <t>Office/Commercial</t>
  </si>
  <si>
    <t>Market-rate Retail</t>
  </si>
  <si>
    <t>Structured Parking</t>
  </si>
  <si>
    <t>Development Fees</t>
  </si>
  <si>
    <t>Other</t>
  </si>
  <si>
    <t>Total Net Operating Income</t>
  </si>
  <si>
    <t>Income from Sales Proceeds</t>
  </si>
  <si>
    <t>Total Income</t>
  </si>
  <si>
    <t>Development Costs</t>
  </si>
  <si>
    <t>Hard Costs</t>
  </si>
  <si>
    <t>Retail</t>
  </si>
  <si>
    <t>Soft Costs</t>
  </si>
  <si>
    <t>Land Acquisition</t>
  </si>
  <si>
    <t>Total Infrastructure</t>
  </si>
  <si>
    <t>Reserves</t>
  </si>
  <si>
    <t>Total Development Costs</t>
  </si>
  <si>
    <t>Tax Credits, TIF, Subsidies</t>
  </si>
  <si>
    <t>PPP Funding</t>
  </si>
  <si>
    <t>Total Development Costs Net Subsidies</t>
  </si>
  <si>
    <t>Annual Cash Flow</t>
  </si>
  <si>
    <t>Net Operating Income</t>
  </si>
  <si>
    <t xml:space="preserve">Total Asset Value </t>
  </si>
  <si>
    <t>Total Costs of Sale</t>
  </si>
  <si>
    <t>Unlevered Cash Flow</t>
  </si>
  <si>
    <t>Financing</t>
  </si>
  <si>
    <t>Financing Costs</t>
  </si>
  <si>
    <t>Construction Loan Funding</t>
  </si>
  <si>
    <t>Debt Service</t>
  </si>
  <si>
    <t>Loan Repayment</t>
  </si>
  <si>
    <t>Levered Cash Flows</t>
  </si>
  <si>
    <t>Net Present Value</t>
  </si>
  <si>
    <t>Loan to Value Ratio (LVR)</t>
  </si>
  <si>
    <t>Unleveraged IRR Before Taxes</t>
  </si>
  <si>
    <t>Current Site Value (start of Year 0)</t>
  </si>
  <si>
    <t>Leveraged IRR Before Taxes</t>
  </si>
  <si>
    <t>Projected Site Value (end of Year 10)</t>
  </si>
  <si>
    <t>2. Multiyear Development Program</t>
  </si>
  <si>
    <t>Year-by-Year Cumulative Absorption</t>
  </si>
  <si>
    <t>Total Buildout</t>
  </si>
  <si>
    <t>Project Buildout by Development Units</t>
  </si>
  <si>
    <t>(units)</t>
  </si>
  <si>
    <t>(spaces)</t>
  </si>
  <si>
    <t>Project Buildout by Area</t>
  </si>
  <si>
    <t>(s.f.)</t>
  </si>
  <si>
    <t>Museum</t>
  </si>
  <si>
    <t>BART Station</t>
  </si>
  <si>
    <t>Total</t>
  </si>
  <si>
    <t>3. Unit Development and Infrastructure Costs</t>
  </si>
  <si>
    <t>4. Equity and Financing Sources</t>
  </si>
  <si>
    <t>Unit Cost</t>
  </si>
  <si>
    <t>Total Costs</t>
  </si>
  <si>
    <t>Equity and Financing</t>
  </si>
  <si>
    <t>Amount</t>
  </si>
  <si>
    <t>Percent of Total</t>
  </si>
  <si>
    <t>Equity Sources (total)</t>
  </si>
  <si>
    <t>Developer's Equity</t>
  </si>
  <si>
    <t>Financing Sources (total)</t>
  </si>
  <si>
    <t>Construction Loan</t>
  </si>
  <si>
    <t>Infrastructure Costs</t>
  </si>
  <si>
    <t>Public</t>
  </si>
  <si>
    <t>Developer</t>
  </si>
  <si>
    <t>Private</t>
  </si>
  <si>
    <t>Jefferson Square Park</t>
  </si>
  <si>
    <t>Skate Park</t>
  </si>
  <si>
    <t>Public Subsidies (total, if any)</t>
  </si>
  <si>
    <t>Sky Bridges</t>
  </si>
  <si>
    <t>LIHTC</t>
  </si>
  <si>
    <t>7th Street Improvements</t>
  </si>
  <si>
    <t>TIF Loan</t>
  </si>
  <si>
    <t>5th and 6th Street Reduction</t>
  </si>
  <si>
    <t>CA TOD Housing Program (Infrastructure Grant)</t>
  </si>
  <si>
    <t>CA Strategic Growth Council (Aff Housing and Sustainable Communities)</t>
  </si>
  <si>
    <t>Acquisition Taxes and Fees</t>
  </si>
  <si>
    <t>PPP - City of Oakland/Alameda County</t>
  </si>
  <si>
    <t>Total Infrastructure Costs</t>
  </si>
  <si>
    <t>PPP - Private Partners</t>
  </si>
  <si>
    <r>
      <rPr>
        <b/>
        <sz val="12"/>
        <color theme="1"/>
        <rFont val="Calibri"/>
        <family val="2"/>
        <scheme val="minor"/>
      </rPr>
      <t>TEAM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2022-4883</t>
    </r>
  </si>
  <si>
    <t>Phasing</t>
  </si>
  <si>
    <t>Begins</t>
  </si>
  <si>
    <t>Predev Ends</t>
  </si>
  <si>
    <t>Construction Ends</t>
  </si>
  <si>
    <t>Stabilization</t>
  </si>
  <si>
    <t>Sale</t>
  </si>
  <si>
    <t>Phase I</t>
  </si>
  <si>
    <t>Development Program</t>
  </si>
  <si>
    <t>Phase II</t>
  </si>
  <si>
    <t>Phase III</t>
  </si>
  <si>
    <t>Market Residential</t>
  </si>
  <si>
    <t>Units</t>
  </si>
  <si>
    <t>AMI %</t>
  </si>
  <si>
    <t>SRO*</t>
  </si>
  <si>
    <t>Studio</t>
  </si>
  <si>
    <t>1BR</t>
  </si>
  <si>
    <t>2BR</t>
  </si>
  <si>
    <t>3BR</t>
  </si>
  <si>
    <t>Average Market Rate Sq Ft</t>
  </si>
  <si>
    <t>Extremely Low (Goal 15%)</t>
  </si>
  <si>
    <t>Affordable Rental Housing</t>
  </si>
  <si>
    <t>Avg SqFt</t>
  </si>
  <si>
    <t>Low</t>
  </si>
  <si>
    <t>Very Low</t>
  </si>
  <si>
    <t>Extremely Low</t>
  </si>
  <si>
    <t>Total Rentable Sq Ft</t>
  </si>
  <si>
    <t>Single Room Occupancy</t>
  </si>
  <si>
    <t>Efficiency</t>
  </si>
  <si>
    <t>Average Size</t>
  </si>
  <si>
    <t>Gross Sq Ft</t>
  </si>
  <si>
    <t>Very Low (Goal 15%)</t>
  </si>
  <si>
    <t>Rent PSF</t>
  </si>
  <si>
    <t>Rent PU</t>
  </si>
  <si>
    <t>Affordable Residential</t>
  </si>
  <si>
    <t>Avg Affordable Sq Ft</t>
  </si>
  <si>
    <t>Low Income (Goal 30%)</t>
  </si>
  <si>
    <t>Total Residential</t>
  </si>
  <si>
    <t>Total Rentable SqFt</t>
  </si>
  <si>
    <t>Gross SqFt</t>
  </si>
  <si>
    <t>Office</t>
  </si>
  <si>
    <t>Rentable SqFt</t>
  </si>
  <si>
    <t>Transitional Housing</t>
  </si>
  <si>
    <t>Annual Gross Rent</t>
  </si>
  <si>
    <t>Class A Office</t>
  </si>
  <si>
    <t>Total RSF</t>
  </si>
  <si>
    <t>Nonprofit Office</t>
  </si>
  <si>
    <t>Total Units</t>
  </si>
  <si>
    <t>Artist Studios</t>
  </si>
  <si>
    <t>Blended Rent PSF</t>
  </si>
  <si>
    <t>Blended Rent PU</t>
  </si>
  <si>
    <t>Parking</t>
  </si>
  <si>
    <t>BART Transit Station</t>
  </si>
  <si>
    <t>Blended Affordable Housing</t>
  </si>
  <si>
    <t>Affordable Housing</t>
  </si>
  <si>
    <t>Spaces</t>
  </si>
  <si>
    <t>Lease Up (Units/Month)</t>
  </si>
  <si>
    <t>Lease Up Begins</t>
  </si>
  <si>
    <t>Months to Stabilization</t>
  </si>
  <si>
    <t>Total Gross SqFt</t>
  </si>
  <si>
    <t>Market Rate Housing</t>
  </si>
  <si>
    <t>Avg</t>
  </si>
  <si>
    <t>Operating Assumptions</t>
  </si>
  <si>
    <t>Global</t>
  </si>
  <si>
    <t>Average Size (PSF)</t>
  </si>
  <si>
    <t>Vacancy</t>
  </si>
  <si>
    <t>Affordable Rental Vacancy</t>
  </si>
  <si>
    <t>Market Rate Rental Vacancy</t>
  </si>
  <si>
    <t>Retail Vacancy</t>
  </si>
  <si>
    <t>Office Vacancy</t>
  </si>
  <si>
    <t>Art Studio Vacancy</t>
  </si>
  <si>
    <t>Parking Vacancy</t>
  </si>
  <si>
    <t>Rent Growth</t>
  </si>
  <si>
    <t>Affordable Rental Growth</t>
  </si>
  <si>
    <t>Market Rate Rental Growth</t>
  </si>
  <si>
    <t>Retail Growth</t>
  </si>
  <si>
    <t>every…</t>
  </si>
  <si>
    <t>Office Growth</t>
  </si>
  <si>
    <t>Art Studio Growth</t>
  </si>
  <si>
    <t>Parking Growth</t>
  </si>
  <si>
    <t>Expense Growth</t>
  </si>
  <si>
    <t>Office Mix</t>
  </si>
  <si>
    <t>Office Lease Up</t>
  </si>
  <si>
    <t>Square Footage</t>
  </si>
  <si>
    <t>Cost Growth</t>
  </si>
  <si>
    <t>Lease Up Rate</t>
  </si>
  <si>
    <t>Inflation</t>
  </si>
  <si>
    <t>Annual Rent</t>
  </si>
  <si>
    <t>Years to Inflate</t>
  </si>
  <si>
    <t>Margins</t>
  </si>
  <si>
    <t>Affordable Rental</t>
  </si>
  <si>
    <t>Market Rate Rental</t>
  </si>
  <si>
    <t>Artists Studios</t>
  </si>
  <si>
    <t xml:space="preserve">Retail </t>
  </si>
  <si>
    <t>Annual Office Rent</t>
  </si>
  <si>
    <t>Exit Assumptions</t>
  </si>
  <si>
    <t>Cap Rate</t>
  </si>
  <si>
    <t>Retail Mix</t>
  </si>
  <si>
    <t>Retail Lease Up</t>
  </si>
  <si>
    <t>Traditional Retail</t>
  </si>
  <si>
    <t>Sale Costs</t>
  </si>
  <si>
    <t>Annual Retail Rent</t>
  </si>
  <si>
    <t>LTC</t>
  </si>
  <si>
    <t>Rate</t>
  </si>
  <si>
    <t>Above-grade Parking Mix</t>
  </si>
  <si>
    <t>Term</t>
  </si>
  <si>
    <t>Structured Parking - Revenue</t>
  </si>
  <si>
    <t>Origination Fee</t>
  </si>
  <si>
    <t>Average Utilization (Draw)</t>
  </si>
  <si>
    <t>SF / Space</t>
  </si>
  <si>
    <t>TIF</t>
  </si>
  <si>
    <t>Monthly Rent / Space</t>
  </si>
  <si>
    <t>Eligible Basis</t>
  </si>
  <si>
    <t>Credit</t>
  </si>
  <si>
    <t>Structured Parking - Non-Revenue</t>
  </si>
  <si>
    <t>Basis Boost</t>
  </si>
  <si>
    <t>Total Credit</t>
  </si>
  <si>
    <t>Credit Pricing</t>
  </si>
  <si>
    <t>CA Strategic Growth Council</t>
  </si>
  <si>
    <t>Annual Parking Rent</t>
  </si>
  <si>
    <t>TOD Housing Program Infrastructure Grant</t>
  </si>
  <si>
    <t>Total GSF - Structured</t>
  </si>
  <si>
    <t>TEAM 2022-4883</t>
  </si>
  <si>
    <t>Sources</t>
  </si>
  <si>
    <t>PSF</t>
  </si>
  <si>
    <t>%</t>
  </si>
  <si>
    <t>Equity</t>
  </si>
  <si>
    <t xml:space="preserve">LIHTC </t>
  </si>
  <si>
    <t>Senior Construction Loan</t>
  </si>
  <si>
    <t>Total Sources</t>
  </si>
  <si>
    <t>Uses</t>
  </si>
  <si>
    <t>Acquisition Costs</t>
  </si>
  <si>
    <t>Developer" Fee</t>
  </si>
  <si>
    <t>Total Uses</t>
  </si>
  <si>
    <t>Market Housing</t>
  </si>
  <si>
    <t>Acquisition</t>
  </si>
  <si>
    <t>Site Acquisition Price</t>
  </si>
  <si>
    <t>Acquisition Subtotal</t>
  </si>
  <si>
    <t>Hard Costs Subtotal</t>
  </si>
  <si>
    <t>Demolition</t>
  </si>
  <si>
    <t>Building</t>
  </si>
  <si>
    <t>Financial</t>
  </si>
  <si>
    <t>Office TI</t>
  </si>
  <si>
    <t>Retail TI</t>
  </si>
  <si>
    <t>Owner's Contingency</t>
  </si>
  <si>
    <t>Total Soft Costs (Architecture, Engineering, Environmental etc)</t>
  </si>
  <si>
    <t>Soft Costs Subtotal</t>
  </si>
  <si>
    <t>Construction Senior Loan Origination Fee</t>
  </si>
  <si>
    <t>Construction Senior Loan Capitalized Interest</t>
  </si>
  <si>
    <t>TIF Loan Origination Fee</t>
  </si>
  <si>
    <t>Financing Costs Subtotal</t>
  </si>
  <si>
    <t>Capitalized Operating Reserve</t>
  </si>
  <si>
    <t>Lease-Up Reserve</t>
  </si>
  <si>
    <t>Reserves Subtotal</t>
  </si>
  <si>
    <t>Developer Fee</t>
  </si>
  <si>
    <t>Developer Fee Subtotal</t>
  </si>
  <si>
    <t>Total Development Budget</t>
  </si>
  <si>
    <t>Total Development Budget Less Major Public Projects</t>
  </si>
  <si>
    <t>TDC PSF</t>
  </si>
  <si>
    <t>Hard Cost PSF</t>
  </si>
  <si>
    <t>TDC PU</t>
  </si>
  <si>
    <t>Hard Cost PU</t>
  </si>
  <si>
    <t>Market Efficiency</t>
  </si>
  <si>
    <t>Affordable Efficiency</t>
  </si>
  <si>
    <t>Market Units</t>
  </si>
  <si>
    <t>North of highway</t>
  </si>
  <si>
    <t>South of Highway</t>
  </si>
  <si>
    <t>Unit Square Footage</t>
  </si>
  <si>
    <t>Total developable area</t>
  </si>
  <si>
    <t>Market</t>
  </si>
  <si>
    <t>FAR</t>
  </si>
  <si>
    <t>Affordable Units</t>
  </si>
  <si>
    <t>Lot Sq Ft per dwelling unit</t>
  </si>
  <si>
    <t>Tower Floor Plate</t>
  </si>
  <si>
    <t xml:space="preserve">Building base </t>
  </si>
  <si>
    <t>85'</t>
  </si>
  <si>
    <t xml:space="preserve">Total </t>
  </si>
  <si>
    <t>275'</t>
  </si>
  <si>
    <t>Unit Mix (%)</t>
  </si>
  <si>
    <t>% Residential</t>
  </si>
  <si>
    <t>Percentage Unit Type</t>
  </si>
  <si>
    <t>% Office</t>
  </si>
  <si>
    <t># of units</t>
  </si>
  <si>
    <t>Average</t>
  </si>
  <si>
    <t>% Nonprofit</t>
  </si>
  <si>
    <t>% Retail</t>
  </si>
  <si>
    <t>Building area allowed</t>
  </si>
  <si>
    <t>Multifamily density allowed</t>
  </si>
  <si>
    <t>Affordable</t>
  </si>
  <si>
    <t>Avg Size</t>
  </si>
  <si>
    <t>Tower height</t>
  </si>
  <si>
    <t>Stories</t>
  </si>
  <si>
    <t>Number of Units</t>
  </si>
  <si>
    <t>Unit Mix</t>
  </si>
  <si>
    <t>Base</t>
  </si>
  <si>
    <t>Net Rentable SqFt</t>
  </si>
  <si>
    <t>Public Improvement</t>
  </si>
  <si>
    <t>Cost/SF</t>
  </si>
  <si>
    <t>SF</t>
  </si>
  <si>
    <t>Cost</t>
  </si>
  <si>
    <t>Partnership: Transitional Housing</t>
  </si>
  <si>
    <t>Partnership: Museum</t>
  </si>
  <si>
    <t>Average RSF</t>
  </si>
  <si>
    <t>$/SqFt (Gross)</t>
  </si>
  <si>
    <t>Total Hard Cost</t>
  </si>
  <si>
    <t>Total Soft Costs</t>
  </si>
  <si>
    <t>Cost Per Unit</t>
  </si>
  <si>
    <t>Block (See Land sheet)</t>
  </si>
  <si>
    <t>H</t>
  </si>
  <si>
    <t>Escalation to 2021</t>
  </si>
  <si>
    <t>Land Acquisition Costs*</t>
  </si>
  <si>
    <t>*Public Land contributed by County</t>
  </si>
  <si>
    <t>Hard costs</t>
  </si>
  <si>
    <t>Operating Reserves</t>
  </si>
  <si>
    <t>Above Grade Parking</t>
  </si>
  <si>
    <t>475 sqft per place</t>
  </si>
  <si>
    <t>G</t>
  </si>
  <si>
    <t>Developer's Fee</t>
  </si>
  <si>
    <t>Street Improvement</t>
  </si>
  <si>
    <t>Land Acquisition Costs</t>
  </si>
  <si>
    <t>Gross</t>
  </si>
  <si>
    <t>Condo</t>
  </si>
  <si>
    <t>725 sqft</t>
  </si>
  <si>
    <t>For Rent</t>
  </si>
  <si>
    <t>high rise</t>
  </si>
  <si>
    <t>Wood Frame</t>
  </si>
  <si>
    <t>SRO</t>
  </si>
  <si>
    <t>52% efficient</t>
  </si>
  <si>
    <t>Before TI</t>
  </si>
  <si>
    <t>Bridge by itself</t>
  </si>
  <si>
    <t>Total Development Cost</t>
  </si>
  <si>
    <t>Bridge amenities</t>
  </si>
  <si>
    <t>Retail shell</t>
  </si>
  <si>
    <t>Private Museum Trust</t>
  </si>
  <si>
    <t>Retail finishes</t>
  </si>
  <si>
    <t>Developer Contribution</t>
  </si>
  <si>
    <t>Urban Grocer finish</t>
  </si>
  <si>
    <t>Public Projects Breakdown</t>
  </si>
  <si>
    <t>Total Public Infrastructure and Public Improvements</t>
  </si>
  <si>
    <t>Public Project</t>
  </si>
  <si>
    <t>City of Oakland/Alameda County</t>
  </si>
  <si>
    <t>7ths Street Improvements</t>
  </si>
  <si>
    <t>Original tax</t>
  </si>
  <si>
    <t>New tax after TIF</t>
  </si>
  <si>
    <t>Taxes</t>
  </si>
  <si>
    <t>Difference</t>
  </si>
  <si>
    <t>Borrowable Amount</t>
  </si>
  <si>
    <t>Discount Rate</t>
  </si>
  <si>
    <t>TIF Year</t>
  </si>
  <si>
    <t>Original Land Value</t>
  </si>
  <si>
    <t>Original Tax</t>
  </si>
  <si>
    <t>New Value</t>
  </si>
  <si>
    <t>New Tax</t>
  </si>
  <si>
    <t>Property Tax</t>
  </si>
  <si>
    <t>Public Land Price</t>
  </si>
  <si>
    <t>Public ROW</t>
  </si>
  <si>
    <t>Museum Land</t>
  </si>
  <si>
    <t>Phase</t>
  </si>
  <si>
    <t>Parcel</t>
  </si>
  <si>
    <t>Parcel #</t>
  </si>
  <si>
    <t>Block</t>
  </si>
  <si>
    <t>Ownership</t>
  </si>
  <si>
    <t>Lot Size</t>
  </si>
  <si>
    <t>Building Area</t>
  </si>
  <si>
    <t>Zoning</t>
  </si>
  <si>
    <t>Taxable Value</t>
  </si>
  <si>
    <t>Date Acquired</t>
  </si>
  <si>
    <t>Acquisition Price</t>
  </si>
  <si>
    <t>Use</t>
  </si>
  <si>
    <t>550 6th Street</t>
  </si>
  <si>
    <t>001 020701100</t>
  </si>
  <si>
    <t>B</t>
  </si>
  <si>
    <t>CBD-X</t>
  </si>
  <si>
    <t>N/A</t>
  </si>
  <si>
    <t xml:space="preserve">661 WASHINGTON ST </t>
  </si>
  <si>
    <t>001 020501300</t>
  </si>
  <si>
    <t>C</t>
  </si>
  <si>
    <t xml:space="preserve">409 WASHINGTON ST </t>
  </si>
  <si>
    <t>001 013100500</t>
  </si>
  <si>
    <t>C-40</t>
  </si>
  <si>
    <t xml:space="preserve">518 4TH ST </t>
  </si>
  <si>
    <t>001 013100700</t>
  </si>
  <si>
    <t>522 4TH ST</t>
  </si>
  <si>
    <t>001 013100801</t>
  </si>
  <si>
    <t>620 WASHINGTON ST</t>
  </si>
  <si>
    <t>001 019900100</t>
  </si>
  <si>
    <t>D</t>
  </si>
  <si>
    <t>499 5TH ST</t>
  </si>
  <si>
    <t>001 013700102</t>
  </si>
  <si>
    <t>C-45</t>
  </si>
  <si>
    <t>401 BROADWAY</t>
  </si>
  <si>
    <t>001 013700101</t>
  </si>
  <si>
    <t>424 M L KING JR WAY</t>
  </si>
  <si>
    <t>001 012300100</t>
  </si>
  <si>
    <t>E</t>
  </si>
  <si>
    <t xml:space="preserve">433 JEFFERSON ST </t>
  </si>
  <si>
    <t>001 012300200</t>
  </si>
  <si>
    <t>401 JEFFERSON ST</t>
  </si>
  <si>
    <t>001 012300701</t>
  </si>
  <si>
    <t xml:space="preserve">593 5TH ST </t>
  </si>
  <si>
    <t>001 012902200</t>
  </si>
  <si>
    <t>F</t>
  </si>
  <si>
    <t xml:space="preserve">422 JEFFERSON ST </t>
  </si>
  <si>
    <t>001 012902100</t>
  </si>
  <si>
    <t>418 JEFFERSON ST</t>
  </si>
  <si>
    <t>001 012902000</t>
  </si>
  <si>
    <t>581 5TH ST</t>
  </si>
  <si>
    <t>001 012901600</t>
  </si>
  <si>
    <t xml:space="preserve">577 5TH ST </t>
  </si>
  <si>
    <t>001 012901700</t>
  </si>
  <si>
    <t>571 5TH ST</t>
  </si>
  <si>
    <t>001 012901800</t>
  </si>
  <si>
    <t>555 5TH ST</t>
  </si>
  <si>
    <t>001 012900701</t>
  </si>
  <si>
    <t xml:space="preserve">578 4TH ST </t>
  </si>
  <si>
    <t>001 012900901</t>
  </si>
  <si>
    <t>6th Street Public Right of Way</t>
  </si>
  <si>
    <t>5th Street Publich Right of Way</t>
  </si>
  <si>
    <t>Sq Ft</t>
  </si>
  <si>
    <t>Sq Ft by Zoning</t>
  </si>
  <si>
    <t>Site</t>
  </si>
  <si>
    <t>Land SqFt</t>
  </si>
  <si>
    <t>Land Cost</t>
  </si>
  <si>
    <t>Mixed Use</t>
  </si>
  <si>
    <t>Space Absorbed</t>
  </si>
  <si>
    <t>Total Space Delivered</t>
  </si>
  <si>
    <t>Units Absorbed</t>
  </si>
  <si>
    <t>Total On-Line Units</t>
  </si>
  <si>
    <t>% On-Line</t>
  </si>
  <si>
    <t>Revenue Growth Factor</t>
  </si>
  <si>
    <t>Expense Growth Factor</t>
  </si>
  <si>
    <t>Gross Revenue</t>
  </si>
  <si>
    <t>Less: Vacancy</t>
  </si>
  <si>
    <t>Net Revenue</t>
  </si>
  <si>
    <t>Expenses including Taxes and Reimbursements</t>
  </si>
  <si>
    <t>NOI Margin</t>
  </si>
  <si>
    <t>NOI</t>
  </si>
  <si>
    <t>Project Value</t>
  </si>
  <si>
    <t>Space Leased</t>
  </si>
  <si>
    <t>Total On-Line Space</t>
  </si>
  <si>
    <t>Phase I NOI</t>
  </si>
  <si>
    <t>Phase I Project Value</t>
  </si>
  <si>
    <t>Senior Loan Balance BOP</t>
  </si>
  <si>
    <t>Funding</t>
  </si>
  <si>
    <t>Amortization</t>
  </si>
  <si>
    <t>Senior Loan Balance EOP</t>
  </si>
  <si>
    <t>Interest</t>
  </si>
  <si>
    <t>Total Debt Service</t>
  </si>
  <si>
    <t>Loan Payback</t>
  </si>
  <si>
    <t>Cash Flow after Debt Service</t>
  </si>
  <si>
    <t>Exit</t>
  </si>
  <si>
    <t>Gross Sale Proceeds</t>
  </si>
  <si>
    <t>Less: Sale Costs</t>
  </si>
  <si>
    <t>Net Sale Proceeds</t>
  </si>
  <si>
    <t>Total Phase Cash Flow to Equity</t>
  </si>
  <si>
    <t>Draw Schedule</t>
  </si>
  <si>
    <t>Total Draws</t>
  </si>
  <si>
    <t>Public Subsidies</t>
  </si>
  <si>
    <t>Equity Cash Flows</t>
  </si>
  <si>
    <t>Equity Draws</t>
  </si>
  <si>
    <t>Cash to Equity</t>
  </si>
  <si>
    <t>Total Equity Cash Flows</t>
  </si>
  <si>
    <t>Levered IRR</t>
  </si>
  <si>
    <t>Equity Multiple</t>
  </si>
  <si>
    <t>Unlevered Costs and Cash Flow</t>
  </si>
  <si>
    <t>Net Sales Proceeds</t>
  </si>
  <si>
    <t>Unlevered Project Cash Flows</t>
  </si>
  <si>
    <t>Unlevered IRR</t>
  </si>
  <si>
    <t>Unlevered Opportunity Zone Cash Flows</t>
  </si>
  <si>
    <t>UnLevered Cash Flows</t>
  </si>
  <si>
    <t>Tax exempt bond</t>
  </si>
  <si>
    <t>Years</t>
  </si>
  <si>
    <t>Predevelopment Starts</t>
  </si>
  <si>
    <t>Construction Begins</t>
  </si>
  <si>
    <t>Completion</t>
  </si>
  <si>
    <t>Total Project Cost</t>
  </si>
  <si>
    <t>Equity from Land Sales</t>
  </si>
  <si>
    <t>Debt Required</t>
  </si>
  <si>
    <t>Phase for The Stack</t>
  </si>
  <si>
    <t>Date</t>
  </si>
  <si>
    <t>Bonds Issued</t>
  </si>
  <si>
    <t>Payments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</si>
</sst>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_);\(&quot;$&quot;#,##0.0\)"/>
    <numFmt numFmtId="165" formatCode="0&quot; years&quot;"/>
    <numFmt numFmtId="166" formatCode="_(&quot;$&quot;* #,##0_);_(&quot;$&quot;* \(#,##0\);_(&quot;$&quot;* &quot;-&quot;??_);_(@_)"/>
    <numFmt numFmtId="167" formatCode="_(* #,##0_);_(* \(#,##0\);_(* &quot;-&quot;??_);_(@_)"/>
    <numFmt numFmtId="168" formatCode="0&quot; months&quot;"/>
    <numFmt numFmtId="169" formatCode="&quot;$&quot;#,##0.00"/>
    <numFmt numFmtId="170" formatCode="&quot;$&quot;#,##0.0"/>
    <numFmt numFmtId="171" formatCode="&quot;$&quot;#,##0"/>
    <numFmt numFmtId="172" formatCode="0.0%"/>
    <numFmt numFmtId="173" formatCode="0.0000%"/>
    <numFmt numFmtId="174" formatCode="&quot;$&quot;#,##0&quot; PSF&quot;"/>
    <numFmt numFmtId="175" formatCode="#.##\x"/>
    <numFmt numFmtId="176" formatCode="&quot;$&quot;###,###\ &quot;per unit&quot;"/>
    <numFmt numFmtId="177" formatCode="&quot;$&quot;###\ &quot;PSF&quot;"/>
    <numFmt numFmtId="178" formatCode="&quot;$&quot;###,###\ &quot;per space&quot;"/>
  </numFmts>
  <fonts count="47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b/>
      <sz val="12"/>
      <color rgb="FF0000FF"/>
      <name val="Arial"/>
      <family val="2"/>
    </font>
    <font>
      <sz val="11"/>
      <color rgb="FF0070C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B0F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name val="Future pt"/>
    </font>
    <font>
      <sz val="10"/>
      <color rgb="FF00B0F0"/>
      <name val="Future pt"/>
    </font>
    <font>
      <sz val="10"/>
      <name val="Arial"/>
      <family val="2"/>
    </font>
    <font>
      <b/>
      <sz val="10"/>
      <name val="Future pt"/>
    </font>
    <font>
      <sz val="8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rgb="FF00B0F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Future pt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i/>
      <sz val="12"/>
      <color theme="1"/>
      <name val="Arial"/>
      <family val="2"/>
    </font>
    <font>
      <b/>
      <i/>
      <sz val="12"/>
      <name val="Arial"/>
      <family val="2"/>
    </font>
    <font>
      <b/>
      <i/>
      <sz val="12"/>
      <color theme="1"/>
      <name val="Arial"/>
      <family val="2"/>
    </font>
    <font>
      <b/>
      <sz val="12"/>
      <color theme="3"/>
      <name val="Arial"/>
      <family val="2"/>
    </font>
    <font>
      <i/>
      <sz val="12"/>
      <name val="Arial"/>
      <family val="2"/>
    </font>
    <font>
      <b/>
      <sz val="12"/>
      <color rgb="FF00B0F0"/>
      <name val="Arial"/>
      <family val="2"/>
    </font>
    <font>
      <sz val="12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0"/>
      <color indexed="9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i/>
      <sz val="10"/>
      <color theme="1"/>
      <name val="Calibri"/>
      <family val="2"/>
      <scheme val="minor"/>
    </font>
    <font>
      <sz val="10"/>
      <color rgb="FF00B0F0"/>
      <name val="Arial Narrow"/>
      <family val="2"/>
    </font>
    <font>
      <sz val="10"/>
      <color theme="0"/>
      <name val="Arial Narrow"/>
      <family val="2"/>
    </font>
    <font>
      <b/>
      <sz val="10"/>
      <color theme="0"/>
      <name val="Arial Narrow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826E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rgb="FF376F9D"/>
      </top>
      <bottom style="thin">
        <color rgb="FF376F9D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376F9D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/>
  </cellStyleXfs>
  <cellXfs count="487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37" fontId="3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 indent="1"/>
    </xf>
    <xf numFmtId="37" fontId="5" fillId="2" borderId="0" xfId="0" applyNumberFormat="1" applyFont="1" applyFill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5" fontId="5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3" fillId="2" borderId="2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5" fontId="3" fillId="2" borderId="2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left" vertical="center" indent="1"/>
    </xf>
    <xf numFmtId="0" fontId="4" fillId="2" borderId="3" xfId="0" applyFont="1" applyFill="1" applyBorder="1" applyAlignment="1">
      <alignment vertical="center"/>
    </xf>
    <xf numFmtId="37" fontId="3" fillId="2" borderId="3" xfId="0" applyNumberFormat="1" applyFont="1" applyFill="1" applyBorder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0" fontId="4" fillId="2" borderId="4" xfId="0" applyFont="1" applyFill="1" applyBorder="1" applyAlignment="1">
      <alignment horizontal="left" vertical="center" indent="1"/>
    </xf>
    <xf numFmtId="0" fontId="4" fillId="2" borderId="4" xfId="0" applyFont="1" applyFill="1" applyBorder="1" applyAlignment="1">
      <alignment vertical="center"/>
    </xf>
    <xf numFmtId="5" fontId="3" fillId="2" borderId="4" xfId="0" applyNumberFormat="1" applyFont="1" applyFill="1" applyBorder="1" applyAlignment="1">
      <alignment horizontal="center" vertical="center"/>
    </xf>
    <xf numFmtId="5" fontId="4" fillId="2" borderId="4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0" fillId="2" borderId="0" xfId="0" applyFill="1" applyAlignment="1">
      <alignment horizontal="center"/>
    </xf>
    <xf numFmtId="37" fontId="4" fillId="2" borderId="6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>
      <alignment horizontal="center" vertical="center"/>
    </xf>
    <xf numFmtId="5" fontId="4" fillId="2" borderId="8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37" fontId="4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9" fontId="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 indent="2"/>
    </xf>
    <xf numFmtId="165" fontId="4" fillId="2" borderId="0" xfId="0" applyNumberFormat="1" applyFont="1" applyFill="1" applyAlignment="1">
      <alignment horizontal="center" vertical="center"/>
    </xf>
    <xf numFmtId="9" fontId="4" fillId="2" borderId="0" xfId="3" applyFont="1" applyFill="1" applyAlignment="1">
      <alignment horizontal="center" vertical="center"/>
    </xf>
    <xf numFmtId="9" fontId="0" fillId="2" borderId="0" xfId="0" applyNumberFormat="1" applyFill="1"/>
    <xf numFmtId="9" fontId="6" fillId="2" borderId="0" xfId="0" applyNumberFormat="1" applyFont="1" applyFill="1"/>
    <xf numFmtId="0" fontId="0" fillId="2" borderId="0" xfId="0" applyFill="1" applyAlignment="1">
      <alignment horizontal="left"/>
    </xf>
    <xf numFmtId="167" fontId="0" fillId="2" borderId="0" xfId="0" applyNumberFormat="1" applyFill="1"/>
    <xf numFmtId="167" fontId="0" fillId="2" borderId="0" xfId="1" applyNumberFormat="1" applyFont="1" applyFill="1" applyAlignment="1">
      <alignment horizontal="center"/>
    </xf>
    <xf numFmtId="167" fontId="0" fillId="2" borderId="0" xfId="1" quotePrefix="1" applyNumberFormat="1" applyFont="1" applyFill="1" applyAlignment="1">
      <alignment horizontal="center"/>
    </xf>
    <xf numFmtId="0" fontId="0" fillId="2" borderId="15" xfId="0" applyFill="1" applyBorder="1"/>
    <xf numFmtId="0" fontId="0" fillId="2" borderId="16" xfId="0" applyFill="1" applyBorder="1" applyAlignment="1">
      <alignment horizontal="center"/>
    </xf>
    <xf numFmtId="0" fontId="0" fillId="2" borderId="0" xfId="0" applyFill="1" applyAlignment="1">
      <alignment vertical="center" textRotation="90" wrapText="1"/>
    </xf>
    <xf numFmtId="0" fontId="0" fillId="2" borderId="0" xfId="0" applyFill="1" applyAlignment="1">
      <alignment horizontal="center" vertical="center" textRotation="90" wrapText="1"/>
    </xf>
    <xf numFmtId="9" fontId="0" fillId="2" borderId="16" xfId="3" applyFont="1" applyFill="1" applyBorder="1" applyAlignment="1">
      <alignment horizontal="center"/>
    </xf>
    <xf numFmtId="9" fontId="0" fillId="2" borderId="16" xfId="0" applyNumberFormat="1" applyFill="1" applyBorder="1" applyAlignment="1">
      <alignment horizontal="center"/>
    </xf>
    <xf numFmtId="0" fontId="10" fillId="2" borderId="0" xfId="0" applyFont="1" applyFill="1"/>
    <xf numFmtId="1" fontId="0" fillId="2" borderId="0" xfId="0" applyNumberFormat="1" applyFill="1"/>
    <xf numFmtId="0" fontId="2" fillId="2" borderId="16" xfId="0" applyFont="1" applyFill="1" applyBorder="1" applyAlignment="1">
      <alignment horizontal="center"/>
    </xf>
    <xf numFmtId="0" fontId="9" fillId="2" borderId="0" xfId="0" applyFont="1" applyFill="1"/>
    <xf numFmtId="0" fontId="0" fillId="2" borderId="0" xfId="0" applyFill="1" applyAlignment="1">
      <alignment horizontal="right"/>
    </xf>
    <xf numFmtId="9" fontId="0" fillId="2" borderId="0" xfId="0" applyNumberFormat="1" applyFill="1" applyAlignment="1">
      <alignment horizontal="center"/>
    </xf>
    <xf numFmtId="0" fontId="0" fillId="2" borderId="10" xfId="0" applyFill="1" applyBorder="1" applyAlignment="1">
      <alignment horizontal="center"/>
    </xf>
    <xf numFmtId="9" fontId="9" fillId="2" borderId="0" xfId="0" applyNumberFormat="1" applyFont="1" applyFill="1" applyAlignment="1">
      <alignment horizontal="center"/>
    </xf>
    <xf numFmtId="1" fontId="0" fillId="2" borderId="0" xfId="0" applyNumberForma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13" fillId="2" borderId="0" xfId="0" applyFont="1" applyFill="1"/>
    <xf numFmtId="0" fontId="13" fillId="2" borderId="21" xfId="0" applyFont="1" applyFill="1" applyBorder="1"/>
    <xf numFmtId="0" fontId="13" fillId="2" borderId="6" xfId="0" applyFont="1" applyFill="1" applyBorder="1"/>
    <xf numFmtId="0" fontId="13" fillId="2" borderId="0" xfId="0" applyFont="1" applyFill="1" applyAlignment="1">
      <alignment horizontal="center"/>
    </xf>
    <xf numFmtId="0" fontId="13" fillId="2" borderId="8" xfId="0" applyFont="1" applyFill="1" applyBorder="1"/>
    <xf numFmtId="166" fontId="13" fillId="2" borderId="17" xfId="0" applyNumberFormat="1" applyFont="1" applyFill="1" applyBorder="1"/>
    <xf numFmtId="7" fontId="13" fillId="2" borderId="6" xfId="0" applyNumberFormat="1" applyFont="1" applyFill="1" applyBorder="1"/>
    <xf numFmtId="166" fontId="13" fillId="2" borderId="19" xfId="0" applyNumberFormat="1" applyFont="1" applyFill="1" applyBorder="1"/>
    <xf numFmtId="5" fontId="13" fillId="2" borderId="0" xfId="0" applyNumberFormat="1" applyFont="1" applyFill="1"/>
    <xf numFmtId="5" fontId="13" fillId="2" borderId="8" xfId="0" applyNumberFormat="1" applyFont="1" applyFill="1" applyBorder="1"/>
    <xf numFmtId="166" fontId="13" fillId="2" borderId="9" xfId="0" applyNumberFormat="1" applyFont="1" applyFill="1" applyBorder="1"/>
    <xf numFmtId="0" fontId="16" fillId="2" borderId="0" xfId="0" applyFont="1" applyFill="1"/>
    <xf numFmtId="0" fontId="13" fillId="2" borderId="1" xfId="0" applyFont="1" applyFill="1" applyBorder="1"/>
    <xf numFmtId="166" fontId="13" fillId="2" borderId="6" xfId="2" applyNumberFormat="1" applyFont="1" applyFill="1" applyBorder="1"/>
    <xf numFmtId="166" fontId="13" fillId="2" borderId="8" xfId="0" applyNumberFormat="1" applyFont="1" applyFill="1" applyBorder="1"/>
    <xf numFmtId="166" fontId="13" fillId="2" borderId="4" xfId="0" applyNumberFormat="1" applyFont="1" applyFill="1" applyBorder="1"/>
    <xf numFmtId="166" fontId="13" fillId="2" borderId="21" xfId="2" applyNumberFormat="1" applyFont="1" applyFill="1" applyBorder="1"/>
    <xf numFmtId="166" fontId="13" fillId="2" borderId="0" xfId="0" applyNumberFormat="1" applyFont="1" applyFill="1"/>
    <xf numFmtId="44" fontId="13" fillId="2" borderId="0" xfId="0" applyNumberFormat="1" applyFont="1" applyFill="1"/>
    <xf numFmtId="1" fontId="13" fillId="2" borderId="0" xfId="1" applyNumberFormat="1" applyFont="1" applyFill="1" applyBorder="1" applyAlignment="1">
      <alignment horizontal="center"/>
    </xf>
    <xf numFmtId="0" fontId="2" fillId="2" borderId="0" xfId="0" applyFont="1" applyFill="1"/>
    <xf numFmtId="14" fontId="0" fillId="2" borderId="0" xfId="0" applyNumberFormat="1" applyFill="1" applyAlignment="1">
      <alignment horizontal="center"/>
    </xf>
    <xf numFmtId="14" fontId="0" fillId="2" borderId="0" xfId="0" applyNumberFormat="1" applyFill="1"/>
    <xf numFmtId="14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168" fontId="9" fillId="2" borderId="0" xfId="0" applyNumberFormat="1" applyFont="1" applyFill="1" applyAlignment="1">
      <alignment horizontal="center"/>
    </xf>
    <xf numFmtId="167" fontId="0" fillId="2" borderId="0" xfId="1" applyNumberFormat="1" applyFont="1" applyFill="1"/>
    <xf numFmtId="167" fontId="1" fillId="2" borderId="0" xfId="1" applyNumberFormat="1" applyFont="1" applyFill="1"/>
    <xf numFmtId="9" fontId="0" fillId="2" borderId="10" xfId="0" applyNumberFormat="1" applyFill="1" applyBorder="1" applyAlignment="1">
      <alignment horizontal="center"/>
    </xf>
    <xf numFmtId="9" fontId="0" fillId="2" borderId="0" xfId="3" applyFont="1" applyFill="1" applyAlignment="1">
      <alignment horizontal="center"/>
    </xf>
    <xf numFmtId="9" fontId="9" fillId="2" borderId="10" xfId="0" applyNumberFormat="1" applyFont="1" applyFill="1" applyBorder="1" applyAlignment="1">
      <alignment horizontal="center"/>
    </xf>
    <xf numFmtId="9" fontId="0" fillId="2" borderId="0" xfId="3" applyFont="1" applyFill="1"/>
    <xf numFmtId="9" fontId="9" fillId="2" borderId="0" xfId="3" applyFont="1" applyFill="1" applyAlignment="1">
      <alignment horizontal="center"/>
    </xf>
    <xf numFmtId="1" fontId="0" fillId="2" borderId="10" xfId="0" applyNumberFormat="1" applyFill="1" applyBorder="1" applyAlignment="1">
      <alignment horizontal="center"/>
    </xf>
    <xf numFmtId="3" fontId="0" fillId="2" borderId="10" xfId="0" applyNumberFormat="1" applyFill="1" applyBorder="1" applyAlignment="1">
      <alignment horizontal="center"/>
    </xf>
    <xf numFmtId="3" fontId="0" fillId="2" borderId="0" xfId="0" applyNumberFormat="1" applyFill="1" applyAlignment="1">
      <alignment horizontal="center"/>
    </xf>
    <xf numFmtId="9" fontId="9" fillId="2" borderId="18" xfId="0" applyNumberFormat="1" applyFont="1" applyFill="1" applyBorder="1" applyAlignment="1">
      <alignment horizontal="center"/>
    </xf>
    <xf numFmtId="9" fontId="0" fillId="2" borderId="18" xfId="0" applyNumberFormat="1" applyFill="1" applyBorder="1" applyAlignment="1">
      <alignment horizontal="center"/>
    </xf>
    <xf numFmtId="9" fontId="0" fillId="2" borderId="0" xfId="3" applyFont="1" applyFill="1" applyBorder="1" applyAlignment="1">
      <alignment horizontal="center"/>
    </xf>
    <xf numFmtId="9" fontId="2" fillId="4" borderId="3" xfId="3" applyFont="1" applyFill="1" applyBorder="1" applyAlignment="1">
      <alignment horizontal="center"/>
    </xf>
    <xf numFmtId="9" fontId="2" fillId="4" borderId="3" xfId="0" applyNumberFormat="1" applyFont="1" applyFill="1" applyBorder="1" applyAlignment="1">
      <alignment horizontal="center"/>
    </xf>
    <xf numFmtId="171" fontId="4" fillId="2" borderId="2" xfId="0" applyNumberFormat="1" applyFont="1" applyFill="1" applyBorder="1" applyAlignment="1">
      <alignment horizontal="center" vertical="center"/>
    </xf>
    <xf numFmtId="37" fontId="18" fillId="2" borderId="0" xfId="0" applyNumberFormat="1" applyFont="1" applyFill="1" applyAlignment="1">
      <alignment horizontal="center" vertical="center"/>
    </xf>
    <xf numFmtId="37" fontId="18" fillId="2" borderId="6" xfId="0" applyNumberFormat="1" applyFont="1" applyFill="1" applyBorder="1" applyAlignment="1">
      <alignment horizontal="center" vertical="center"/>
    </xf>
    <xf numFmtId="5" fontId="4" fillId="2" borderId="0" xfId="0" applyNumberFormat="1" applyFont="1" applyFill="1" applyAlignment="1">
      <alignment horizontal="center" vertical="center"/>
    </xf>
    <xf numFmtId="37" fontId="4" fillId="2" borderId="19" xfId="0" applyNumberFormat="1" applyFont="1" applyFill="1" applyBorder="1" applyAlignment="1">
      <alignment horizontal="center" vertical="center"/>
    </xf>
    <xf numFmtId="37" fontId="18" fillId="2" borderId="19" xfId="0" applyNumberFormat="1" applyFont="1" applyFill="1" applyBorder="1" applyAlignment="1">
      <alignment horizontal="center" vertical="center"/>
    </xf>
    <xf numFmtId="37" fontId="18" fillId="2" borderId="21" xfId="0" applyNumberFormat="1" applyFont="1" applyFill="1" applyBorder="1" applyAlignment="1">
      <alignment horizontal="center" vertical="center"/>
    </xf>
    <xf numFmtId="37" fontId="18" fillId="2" borderId="3" xfId="0" applyNumberFormat="1" applyFont="1" applyFill="1" applyBorder="1" applyAlignment="1">
      <alignment horizontal="center" vertical="center"/>
    </xf>
    <xf numFmtId="37" fontId="18" fillId="2" borderId="17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37" fontId="18" fillId="2" borderId="5" xfId="0" applyNumberFormat="1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5" fontId="18" fillId="2" borderId="0" xfId="0" applyNumberFormat="1" applyFont="1" applyFill="1" applyAlignment="1">
      <alignment horizontal="center" vertical="center"/>
    </xf>
    <xf numFmtId="169" fontId="20" fillId="2" borderId="0" xfId="2" applyNumberFormat="1" applyFont="1" applyFill="1" applyBorder="1" applyAlignment="1">
      <alignment horizontal="center" vertical="center"/>
    </xf>
    <xf numFmtId="164" fontId="18" fillId="2" borderId="0" xfId="0" applyNumberFormat="1" applyFont="1" applyFill="1" applyAlignment="1">
      <alignment horizontal="center" vertical="center"/>
    </xf>
    <xf numFmtId="5" fontId="18" fillId="2" borderId="6" xfId="0" applyNumberFormat="1" applyFont="1" applyFill="1" applyBorder="1" applyAlignment="1">
      <alignment horizontal="center" vertical="center"/>
    </xf>
    <xf numFmtId="5" fontId="18" fillId="2" borderId="8" xfId="0" applyNumberFormat="1" applyFont="1" applyFill="1" applyBorder="1" applyAlignment="1">
      <alignment horizontal="center" vertical="center"/>
    </xf>
    <xf numFmtId="171" fontId="4" fillId="2" borderId="7" xfId="2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/>
    </xf>
    <xf numFmtId="6" fontId="13" fillId="2" borderId="0" xfId="0" applyNumberFormat="1" applyFont="1" applyFill="1" applyAlignment="1">
      <alignment horizontal="center"/>
    </xf>
    <xf numFmtId="9" fontId="14" fillId="2" borderId="0" xfId="3" applyFont="1" applyFill="1" applyAlignment="1">
      <alignment horizontal="center"/>
    </xf>
    <xf numFmtId="171" fontId="22" fillId="2" borderId="0" xfId="1" applyNumberFormat="1" applyFont="1" applyFill="1" applyBorder="1" applyAlignment="1">
      <alignment horizontal="center"/>
    </xf>
    <xf numFmtId="171" fontId="13" fillId="2" borderId="0" xfId="0" applyNumberFormat="1" applyFont="1" applyFill="1" applyAlignment="1">
      <alignment horizontal="center"/>
    </xf>
    <xf numFmtId="167" fontId="13" fillId="2" borderId="0" xfId="1" applyNumberFormat="1" applyFont="1" applyFill="1" applyBorder="1" applyAlignment="1">
      <alignment horizontal="center"/>
    </xf>
    <xf numFmtId="0" fontId="18" fillId="2" borderId="0" xfId="0" applyFont="1" applyFill="1"/>
    <xf numFmtId="0" fontId="19" fillId="2" borderId="0" xfId="0" applyFont="1" applyFill="1"/>
    <xf numFmtId="0" fontId="3" fillId="2" borderId="0" xfId="0" applyFont="1" applyFill="1"/>
    <xf numFmtId="0" fontId="27" fillId="2" borderId="0" xfId="0" applyFont="1" applyFill="1"/>
    <xf numFmtId="0" fontId="26" fillId="2" borderId="0" xfId="0" applyFont="1" applyFill="1"/>
    <xf numFmtId="0" fontId="4" fillId="2" borderId="0" xfId="0" applyFont="1" applyFill="1"/>
    <xf numFmtId="0" fontId="25" fillId="2" borderId="0" xfId="0" applyFont="1" applyFill="1"/>
    <xf numFmtId="0" fontId="18" fillId="2" borderId="0" xfId="0" applyFont="1" applyFill="1" applyAlignment="1">
      <alignment vertical="center"/>
    </xf>
    <xf numFmtId="44" fontId="0" fillId="2" borderId="0" xfId="2" applyFont="1" applyFill="1"/>
    <xf numFmtId="169" fontId="0" fillId="2" borderId="0" xfId="0" applyNumberFormat="1" applyFill="1"/>
    <xf numFmtId="166" fontId="0" fillId="2" borderId="0" xfId="2" applyNumberFormat="1" applyFont="1" applyFill="1"/>
    <xf numFmtId="0" fontId="28" fillId="2" borderId="0" xfId="0" applyFont="1" applyFill="1"/>
    <xf numFmtId="0" fontId="29" fillId="2" borderId="0" xfId="0" applyFont="1" applyFill="1"/>
    <xf numFmtId="0" fontId="23" fillId="2" borderId="0" xfId="0" applyFont="1" applyFill="1"/>
    <xf numFmtId="0" fontId="18" fillId="2" borderId="0" xfId="0" applyFont="1" applyFill="1" applyAlignment="1">
      <alignment horizontal="left" vertical="center"/>
    </xf>
    <xf numFmtId="169" fontId="0" fillId="2" borderId="0" xfId="0" applyNumberFormat="1" applyFill="1" applyAlignment="1">
      <alignment horizontal="center"/>
    </xf>
    <xf numFmtId="6" fontId="14" fillId="2" borderId="0" xfId="0" applyNumberFormat="1" applyFont="1" applyFill="1" applyAlignment="1">
      <alignment horizontal="center"/>
    </xf>
    <xf numFmtId="167" fontId="14" fillId="2" borderId="0" xfId="1" applyNumberFormat="1" applyFont="1" applyFill="1" applyBorder="1" applyAlignment="1">
      <alignment horizontal="center"/>
    </xf>
    <xf numFmtId="6" fontId="0" fillId="2" borderId="0" xfId="0" applyNumberFormat="1" applyFill="1" applyAlignment="1">
      <alignment horizontal="center"/>
    </xf>
    <xf numFmtId="169" fontId="9" fillId="2" borderId="0" xfId="0" applyNumberFormat="1" applyFont="1" applyFill="1" applyAlignment="1">
      <alignment horizontal="center"/>
    </xf>
    <xf numFmtId="44" fontId="0" fillId="2" borderId="0" xfId="0" applyNumberFormat="1" applyFill="1"/>
    <xf numFmtId="171" fontId="9" fillId="2" borderId="0" xfId="0" applyNumberFormat="1" applyFont="1" applyFill="1" applyAlignment="1">
      <alignment horizontal="center"/>
    </xf>
    <xf numFmtId="9" fontId="9" fillId="2" borderId="0" xfId="0" applyNumberFormat="1" applyFont="1" applyFill="1"/>
    <xf numFmtId="171" fontId="0" fillId="2" borderId="0" xfId="0" applyNumberFormat="1" applyFill="1"/>
    <xf numFmtId="171" fontId="0" fillId="2" borderId="0" xfId="0" applyNumberFormat="1" applyFill="1" applyAlignment="1">
      <alignment horizontal="center"/>
    </xf>
    <xf numFmtId="171" fontId="0" fillId="2" borderId="0" xfId="2" applyNumberFormat="1" applyFont="1" applyFill="1" applyAlignment="1">
      <alignment horizontal="center"/>
    </xf>
    <xf numFmtId="170" fontId="0" fillId="2" borderId="0" xfId="0" applyNumberFormat="1" applyFill="1"/>
    <xf numFmtId="0" fontId="19" fillId="2" borderId="7" xfId="0" applyFont="1" applyFill="1" applyBorder="1"/>
    <xf numFmtId="0" fontId="0" fillId="2" borderId="2" xfId="0" applyFill="1" applyBorder="1"/>
    <xf numFmtId="171" fontId="0" fillId="2" borderId="2" xfId="0" applyNumberFormat="1" applyFill="1" applyBorder="1" applyAlignment="1">
      <alignment horizontal="center"/>
    </xf>
    <xf numFmtId="171" fontId="0" fillId="2" borderId="11" xfId="0" applyNumberFormat="1" applyFill="1" applyBorder="1" applyAlignment="1">
      <alignment horizontal="center"/>
    </xf>
    <xf numFmtId="6" fontId="0" fillId="2" borderId="2" xfId="0" applyNumberFormat="1" applyFill="1" applyBorder="1" applyAlignment="1">
      <alignment horizontal="center"/>
    </xf>
    <xf numFmtId="6" fontId="0" fillId="2" borderId="11" xfId="0" applyNumberFormat="1" applyFill="1" applyBorder="1" applyAlignment="1">
      <alignment horizontal="center"/>
    </xf>
    <xf numFmtId="169" fontId="0" fillId="2" borderId="2" xfId="0" applyNumberFormat="1" applyFill="1" applyBorder="1" applyAlignment="1">
      <alignment horizontal="center"/>
    </xf>
    <xf numFmtId="0" fontId="0" fillId="2" borderId="11" xfId="0" applyFill="1" applyBorder="1"/>
    <xf numFmtId="0" fontId="3" fillId="2" borderId="7" xfId="0" applyFont="1" applyFill="1" applyBorder="1"/>
    <xf numFmtId="0" fontId="18" fillId="2" borderId="7" xfId="0" applyFont="1" applyFill="1" applyBorder="1"/>
    <xf numFmtId="0" fontId="13" fillId="2" borderId="0" xfId="0" applyFont="1" applyFill="1" applyAlignment="1">
      <alignment horizontal="left"/>
    </xf>
    <xf numFmtId="9" fontId="30" fillId="2" borderId="0" xfId="0" applyNumberFormat="1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30" fillId="2" borderId="0" xfId="0" applyFont="1" applyFill="1" applyAlignment="1">
      <alignment vertical="center"/>
    </xf>
    <xf numFmtId="172" fontId="30" fillId="2" borderId="0" xfId="0" applyNumberFormat="1" applyFont="1" applyFill="1" applyAlignment="1">
      <alignment horizontal="center" vertical="center"/>
    </xf>
    <xf numFmtId="165" fontId="30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5" fontId="0" fillId="2" borderId="0" xfId="0" applyNumberFormat="1" applyFill="1"/>
    <xf numFmtId="171" fontId="0" fillId="0" borderId="0" xfId="0" applyNumberFormat="1" applyAlignment="1">
      <alignment horizontal="center"/>
    </xf>
    <xf numFmtId="10" fontId="9" fillId="2" borderId="0" xfId="0" applyNumberFormat="1" applyFont="1" applyFill="1" applyAlignment="1">
      <alignment horizontal="center"/>
    </xf>
    <xf numFmtId="173" fontId="9" fillId="2" borderId="0" xfId="0" applyNumberFormat="1" applyFont="1" applyFill="1" applyAlignment="1">
      <alignment horizontal="center"/>
    </xf>
    <xf numFmtId="174" fontId="9" fillId="2" borderId="0" xfId="0" applyNumberFormat="1" applyFont="1" applyFill="1" applyAlignment="1">
      <alignment horizontal="center"/>
    </xf>
    <xf numFmtId="171" fontId="0" fillId="2" borderId="14" xfId="0" applyNumberFormat="1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171" fontId="0" fillId="2" borderId="16" xfId="0" applyNumberFormat="1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171" fontId="0" fillId="2" borderId="1" xfId="0" applyNumberFormat="1" applyFill="1" applyBorder="1" applyAlignment="1">
      <alignment horizontal="center"/>
    </xf>
    <xf numFmtId="171" fontId="0" fillId="2" borderId="20" xfId="0" applyNumberFormat="1" applyFill="1" applyBorder="1" applyAlignment="1">
      <alignment horizontal="center"/>
    </xf>
    <xf numFmtId="171" fontId="0" fillId="2" borderId="10" xfId="2" applyNumberFormat="1" applyFont="1" applyFill="1" applyBorder="1" applyAlignment="1">
      <alignment horizontal="center"/>
    </xf>
    <xf numFmtId="171" fontId="0" fillId="2" borderId="10" xfId="0" applyNumberFormat="1" applyFill="1" applyBorder="1" applyAlignment="1">
      <alignment horizontal="center"/>
    </xf>
    <xf numFmtId="3" fontId="0" fillId="2" borderId="10" xfId="2" applyNumberFormat="1" applyFont="1" applyFill="1" applyBorder="1" applyAlignment="1">
      <alignment horizontal="center"/>
    </xf>
    <xf numFmtId="10" fontId="22" fillId="2" borderId="19" xfId="0" applyNumberFormat="1" applyFont="1" applyFill="1" applyBorder="1"/>
    <xf numFmtId="9" fontId="0" fillId="5" borderId="0" xfId="0" applyNumberFormat="1" applyFill="1" applyAlignment="1">
      <alignment horizontal="center"/>
    </xf>
    <xf numFmtId="171" fontId="0" fillId="5" borderId="10" xfId="2" applyNumberFormat="1" applyFont="1" applyFill="1" applyBorder="1" applyAlignment="1">
      <alignment horizontal="center"/>
    </xf>
    <xf numFmtId="164" fontId="18" fillId="2" borderId="6" xfId="0" applyNumberFormat="1" applyFont="1" applyFill="1" applyBorder="1" applyAlignment="1">
      <alignment horizontal="center" vertical="center"/>
    </xf>
    <xf numFmtId="164" fontId="18" fillId="2" borderId="19" xfId="0" applyNumberFormat="1" applyFont="1" applyFill="1" applyBorder="1" applyAlignment="1">
      <alignment horizontal="center" vertical="center"/>
    </xf>
    <xf numFmtId="5" fontId="18" fillId="2" borderId="19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 indent="1"/>
    </xf>
    <xf numFmtId="10" fontId="19" fillId="2" borderId="0" xfId="0" applyNumberFormat="1" applyFont="1" applyFill="1" applyAlignment="1">
      <alignment horizontal="center" vertical="center"/>
    </xf>
    <xf numFmtId="10" fontId="18" fillId="2" borderId="0" xfId="0" applyNumberFormat="1" applyFont="1" applyFill="1" applyAlignment="1">
      <alignment horizontal="center" vertical="center"/>
    </xf>
    <xf numFmtId="9" fontId="20" fillId="2" borderId="0" xfId="0" applyNumberFormat="1" applyFont="1" applyFill="1" applyAlignment="1">
      <alignment horizontal="center" vertical="center"/>
    </xf>
    <xf numFmtId="10" fontId="20" fillId="2" borderId="0" xfId="0" applyNumberFormat="1" applyFont="1" applyFill="1" applyAlignment="1">
      <alignment horizontal="center" vertical="center"/>
    </xf>
    <xf numFmtId="5" fontId="3" fillId="2" borderId="0" xfId="0" applyNumberFormat="1" applyFont="1" applyFill="1" applyAlignment="1">
      <alignment horizontal="center" vertical="center"/>
    </xf>
    <xf numFmtId="3" fontId="4" fillId="2" borderId="0" xfId="0" applyNumberFormat="1" applyFont="1" applyFill="1" applyAlignment="1">
      <alignment horizontal="center" vertical="center"/>
    </xf>
    <xf numFmtId="7" fontId="4" fillId="2" borderId="0" xfId="0" applyNumberFormat="1" applyFont="1" applyFill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43" fontId="0" fillId="2" borderId="0" xfId="0" applyNumberFormat="1" applyFill="1"/>
    <xf numFmtId="3" fontId="0" fillId="2" borderId="16" xfId="0" applyNumberFormat="1" applyFill="1" applyBorder="1" applyAlignment="1">
      <alignment horizontal="center"/>
    </xf>
    <xf numFmtId="0" fontId="0" fillId="2" borderId="23" xfId="0" applyFill="1" applyBorder="1"/>
    <xf numFmtId="1" fontId="0" fillId="2" borderId="1" xfId="0" applyNumberFormat="1" applyFill="1" applyBorder="1" applyAlignment="1">
      <alignment horizontal="center"/>
    </xf>
    <xf numFmtId="3" fontId="0" fillId="2" borderId="6" xfId="0" applyNumberFormat="1" applyFill="1" applyBorder="1" applyAlignment="1">
      <alignment horizontal="center"/>
    </xf>
    <xf numFmtId="3" fontId="21" fillId="2" borderId="0" xfId="0" applyNumberFormat="1" applyFont="1" applyFill="1" applyAlignment="1">
      <alignment horizontal="center"/>
    </xf>
    <xf numFmtId="167" fontId="0" fillId="2" borderId="0" xfId="1" applyNumberFormat="1" applyFont="1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8" fillId="2" borderId="15" xfId="0" applyFont="1" applyFill="1" applyBorder="1" applyAlignment="1">
      <alignment horizontal="center"/>
    </xf>
    <xf numFmtId="10" fontId="0" fillId="2" borderId="0" xfId="0" applyNumberFormat="1" applyFill="1"/>
    <xf numFmtId="9" fontId="30" fillId="2" borderId="0" xfId="3" applyFont="1" applyFill="1" applyAlignment="1">
      <alignment horizontal="center" vertical="center"/>
    </xf>
    <xf numFmtId="172" fontId="0" fillId="2" borderId="0" xfId="0" applyNumberFormat="1" applyFill="1" applyAlignment="1">
      <alignment horizontal="center"/>
    </xf>
    <xf numFmtId="5" fontId="0" fillId="2" borderId="0" xfId="0" applyNumberFormat="1" applyFill="1" applyAlignment="1">
      <alignment horizontal="center"/>
    </xf>
    <xf numFmtId="1" fontId="9" fillId="2" borderId="10" xfId="0" applyNumberFormat="1" applyFont="1" applyFill="1" applyBorder="1" applyAlignment="1">
      <alignment horizontal="center"/>
    </xf>
    <xf numFmtId="14" fontId="0" fillId="2" borderId="10" xfId="0" applyNumberForma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9" fontId="9" fillId="2" borderId="10" xfId="3" applyFont="1" applyFill="1" applyBorder="1" applyAlignment="1">
      <alignment horizontal="center"/>
    </xf>
    <xf numFmtId="0" fontId="0" fillId="2" borderId="4" xfId="0" applyFill="1" applyBorder="1"/>
    <xf numFmtId="171" fontId="0" fillId="2" borderId="4" xfId="0" applyNumberFormat="1" applyFill="1" applyBorder="1" applyAlignment="1">
      <alignment horizontal="center"/>
    </xf>
    <xf numFmtId="3" fontId="9" fillId="2" borderId="0" xfId="0" applyNumberFormat="1" applyFont="1" applyFill="1" applyAlignment="1">
      <alignment horizontal="center"/>
    </xf>
    <xf numFmtId="0" fontId="0" fillId="2" borderId="5" xfId="0" applyFill="1" applyBorder="1"/>
    <xf numFmtId="3" fontId="9" fillId="2" borderId="6" xfId="0" applyNumberFormat="1" applyFont="1" applyFill="1" applyBorder="1" applyAlignment="1">
      <alignment horizontal="center"/>
    </xf>
    <xf numFmtId="171" fontId="9" fillId="2" borderId="6" xfId="0" applyNumberFormat="1" applyFont="1" applyFill="1" applyBorder="1" applyAlignment="1">
      <alignment horizontal="center"/>
    </xf>
    <xf numFmtId="171" fontId="0" fillId="2" borderId="6" xfId="0" applyNumberFormat="1" applyFill="1" applyBorder="1" applyAlignment="1">
      <alignment horizontal="center"/>
    </xf>
    <xf numFmtId="171" fontId="0" fillId="2" borderId="7" xfId="0" applyNumberFormat="1" applyFill="1" applyBorder="1" applyAlignment="1">
      <alignment horizontal="center"/>
    </xf>
    <xf numFmtId="171" fontId="0" fillId="2" borderId="8" xfId="0" applyNumberFormat="1" applyFill="1" applyBorder="1" applyAlignment="1">
      <alignment horizontal="center"/>
    </xf>
    <xf numFmtId="171" fontId="4" fillId="2" borderId="2" xfId="2" applyNumberFormat="1" applyFont="1" applyFill="1" applyBorder="1" applyAlignment="1">
      <alignment horizontal="center" vertical="center"/>
    </xf>
    <xf numFmtId="0" fontId="0" fillId="2" borderId="3" xfId="0" applyFill="1" applyBorder="1"/>
    <xf numFmtId="5" fontId="18" fillId="2" borderId="4" xfId="0" applyNumberFormat="1" applyFont="1" applyFill="1" applyBorder="1" applyAlignment="1">
      <alignment horizontal="center" vertical="center"/>
    </xf>
    <xf numFmtId="5" fontId="18" fillId="2" borderId="9" xfId="0" applyNumberFormat="1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vertical="center"/>
    </xf>
    <xf numFmtId="5" fontId="3" fillId="2" borderId="24" xfId="0" applyNumberFormat="1" applyFont="1" applyFill="1" applyBorder="1" applyAlignment="1">
      <alignment horizontal="center" vertical="center"/>
    </xf>
    <xf numFmtId="5" fontId="4" fillId="2" borderId="24" xfId="0" applyNumberFormat="1" applyFont="1" applyFill="1" applyBorder="1" applyAlignment="1">
      <alignment horizontal="center" vertical="center"/>
    </xf>
    <xf numFmtId="14" fontId="0" fillId="2" borderId="3" xfId="0" applyNumberFormat="1" applyFill="1" applyBorder="1" applyAlignment="1">
      <alignment horizontal="center"/>
    </xf>
    <xf numFmtId="0" fontId="4" fillId="2" borderId="4" xfId="0" applyFont="1" applyFill="1" applyBorder="1" applyAlignment="1">
      <alignment horizontal="left" vertical="center"/>
    </xf>
    <xf numFmtId="14" fontId="0" fillId="2" borderId="4" xfId="0" applyNumberFormat="1" applyFill="1" applyBorder="1" applyAlignment="1">
      <alignment horizontal="center"/>
    </xf>
    <xf numFmtId="37" fontId="0" fillId="2" borderId="0" xfId="0" applyNumberFormat="1" applyFill="1" applyAlignment="1">
      <alignment horizontal="center"/>
    </xf>
    <xf numFmtId="5" fontId="4" fillId="2" borderId="3" xfId="0" applyNumberFormat="1" applyFont="1" applyFill="1" applyBorder="1" applyAlignment="1">
      <alignment horizontal="center" vertical="center"/>
    </xf>
    <xf numFmtId="14" fontId="4" fillId="2" borderId="3" xfId="0" applyNumberFormat="1" applyFont="1" applyFill="1" applyBorder="1" applyAlignment="1">
      <alignment horizontal="center" vertical="center"/>
    </xf>
    <xf numFmtId="14" fontId="4" fillId="2" borderId="4" xfId="0" applyNumberFormat="1" applyFont="1" applyFill="1" applyBorder="1" applyAlignment="1">
      <alignment horizontal="center" vertical="center"/>
    </xf>
    <xf numFmtId="9" fontId="9" fillId="2" borderId="0" xfId="3" applyFont="1" applyFill="1" applyBorder="1" applyAlignment="1">
      <alignment horizontal="center"/>
    </xf>
    <xf numFmtId="171" fontId="3" fillId="2" borderId="0" xfId="0" applyNumberFormat="1" applyFont="1" applyFill="1"/>
    <xf numFmtId="171" fontId="0" fillId="2" borderId="26" xfId="0" applyNumberFormat="1" applyFill="1" applyBorder="1" applyAlignment="1">
      <alignment horizontal="center"/>
    </xf>
    <xf numFmtId="171" fontId="0" fillId="2" borderId="27" xfId="0" applyNumberFormat="1" applyFill="1" applyBorder="1" applyAlignment="1">
      <alignment horizontal="center"/>
    </xf>
    <xf numFmtId="0" fontId="0" fillId="2" borderId="13" xfId="0" applyFill="1" applyBorder="1"/>
    <xf numFmtId="0" fontId="0" fillId="2" borderId="14" xfId="0" applyFill="1" applyBorder="1"/>
    <xf numFmtId="0" fontId="4" fillId="2" borderId="21" xfId="0" applyFont="1" applyFill="1" applyBorder="1"/>
    <xf numFmtId="0" fontId="0" fillId="2" borderId="17" xfId="0" applyFill="1" applyBorder="1"/>
    <xf numFmtId="0" fontId="4" fillId="2" borderId="6" xfId="0" applyFont="1" applyFill="1" applyBorder="1"/>
    <xf numFmtId="171" fontId="0" fillId="2" borderId="19" xfId="0" applyNumberFormat="1" applyFill="1" applyBorder="1" applyAlignment="1">
      <alignment horizontal="center"/>
    </xf>
    <xf numFmtId="0" fontId="4" fillId="2" borderId="8" xfId="0" applyFont="1" applyFill="1" applyBorder="1"/>
    <xf numFmtId="171" fontId="0" fillId="2" borderId="9" xfId="0" applyNumberFormat="1" applyFill="1" applyBorder="1" applyAlignment="1">
      <alignment horizontal="center"/>
    </xf>
    <xf numFmtId="0" fontId="4" fillId="2" borderId="3" xfId="0" applyFont="1" applyFill="1" applyBorder="1"/>
    <xf numFmtId="0" fontId="4" fillId="2" borderId="4" xfId="0" applyFont="1" applyFill="1" applyBorder="1"/>
    <xf numFmtId="10" fontId="14" fillId="2" borderId="17" xfId="0" applyNumberFormat="1" applyFont="1" applyFill="1" applyBorder="1"/>
    <xf numFmtId="9" fontId="14" fillId="2" borderId="19" xfId="0" applyNumberFormat="1" applyFont="1" applyFill="1" applyBorder="1"/>
    <xf numFmtId="9" fontId="14" fillId="2" borderId="9" xfId="0" applyNumberFormat="1" applyFont="1" applyFill="1" applyBorder="1"/>
    <xf numFmtId="9" fontId="3" fillId="2" borderId="0" xfId="3" applyFont="1" applyFill="1" applyBorder="1"/>
    <xf numFmtId="0" fontId="0" fillId="2" borderId="26" xfId="0" applyFill="1" applyBorder="1"/>
    <xf numFmtId="165" fontId="20" fillId="2" borderId="0" xfId="0" applyNumberFormat="1" applyFont="1" applyFill="1" applyAlignment="1">
      <alignment horizontal="center" vertical="center"/>
    </xf>
    <xf numFmtId="9" fontId="3" fillId="2" borderId="0" xfId="0" applyNumberFormat="1" applyFont="1" applyFill="1"/>
    <xf numFmtId="171" fontId="9" fillId="2" borderId="0" xfId="2" applyNumberFormat="1" applyFont="1" applyFill="1" applyAlignment="1">
      <alignment horizontal="center"/>
    </xf>
    <xf numFmtId="0" fontId="0" fillId="2" borderId="25" xfId="0" applyFill="1" applyBorder="1"/>
    <xf numFmtId="0" fontId="31" fillId="2" borderId="0" xfId="0" applyFont="1" applyFill="1" applyAlignment="1">
      <alignment horizontal="left" vertical="center" indent="1"/>
    </xf>
    <xf numFmtId="0" fontId="31" fillId="2" borderId="4" xfId="0" applyFont="1" applyFill="1" applyBorder="1" applyAlignment="1">
      <alignment horizontal="left" vertical="center" indent="1"/>
    </xf>
    <xf numFmtId="171" fontId="0" fillId="2" borderId="12" xfId="0" applyNumberFormat="1" applyFill="1" applyBorder="1" applyAlignment="1">
      <alignment horizontal="center"/>
    </xf>
    <xf numFmtId="171" fontId="0" fillId="2" borderId="13" xfId="0" applyNumberFormat="1" applyFill="1" applyBorder="1" applyAlignment="1">
      <alignment horizontal="center"/>
    </xf>
    <xf numFmtId="171" fontId="0" fillId="2" borderId="15" xfId="0" applyNumberFormat="1" applyFill="1" applyBorder="1" applyAlignment="1">
      <alignment horizontal="center"/>
    </xf>
    <xf numFmtId="171" fontId="0" fillId="2" borderId="23" xfId="0" applyNumberFormat="1" applyFill="1" applyBorder="1" applyAlignment="1">
      <alignment horizontal="center"/>
    </xf>
    <xf numFmtId="167" fontId="13" fillId="2" borderId="0" xfId="0" applyNumberFormat="1" applyFont="1" applyFill="1" applyAlignment="1">
      <alignment horizontal="center"/>
    </xf>
    <xf numFmtId="3" fontId="1" fillId="2" borderId="0" xfId="1" applyNumberFormat="1" applyFont="1" applyFill="1" applyBorder="1" applyAlignment="1">
      <alignment horizontal="center"/>
    </xf>
    <xf numFmtId="1" fontId="0" fillId="2" borderId="16" xfId="0" applyNumberFormat="1" applyFill="1" applyBorder="1" applyAlignment="1">
      <alignment horizontal="center"/>
    </xf>
    <xf numFmtId="0" fontId="21" fillId="2" borderId="15" xfId="0" applyFont="1" applyFill="1" applyBorder="1" applyAlignment="1">
      <alignment horizontal="center"/>
    </xf>
    <xf numFmtId="9" fontId="1" fillId="2" borderId="16" xfId="3" applyFont="1" applyFill="1" applyBorder="1" applyAlignment="1">
      <alignment horizontal="center"/>
    </xf>
    <xf numFmtId="3" fontId="0" fillId="2" borderId="1" xfId="0" applyNumberFormat="1" applyFill="1" applyBorder="1" applyAlignment="1">
      <alignment horizontal="center"/>
    </xf>
    <xf numFmtId="3" fontId="0" fillId="2" borderId="20" xfId="0" applyNumberFormat="1" applyFill="1" applyBorder="1" applyAlignment="1">
      <alignment horizontal="center"/>
    </xf>
    <xf numFmtId="0" fontId="18" fillId="2" borderId="1" xfId="0" applyFont="1" applyFill="1" applyBorder="1"/>
    <xf numFmtId="0" fontId="0" fillId="2" borderId="1" xfId="0" applyFill="1" applyBorder="1"/>
    <xf numFmtId="6" fontId="9" fillId="2" borderId="0" xfId="0" applyNumberFormat="1" applyFont="1" applyFill="1" applyAlignment="1">
      <alignment horizontal="center"/>
    </xf>
    <xf numFmtId="0" fontId="11" fillId="6" borderId="0" xfId="0" applyFont="1" applyFill="1"/>
    <xf numFmtId="0" fontId="11" fillId="6" borderId="0" xfId="0" applyFont="1" applyFill="1" applyAlignment="1">
      <alignment horizontal="center"/>
    </xf>
    <xf numFmtId="0" fontId="23" fillId="6" borderId="0" xfId="0" applyFont="1" applyFill="1"/>
    <xf numFmtId="14" fontId="11" fillId="6" borderId="0" xfId="0" applyNumberFormat="1" applyFont="1" applyFill="1" applyAlignment="1">
      <alignment horizontal="center"/>
    </xf>
    <xf numFmtId="0" fontId="0" fillId="6" borderId="0" xfId="0" applyFill="1"/>
    <xf numFmtId="0" fontId="4" fillId="6" borderId="0" xfId="0" applyFont="1" applyFill="1"/>
    <xf numFmtId="171" fontId="12" fillId="6" borderId="0" xfId="0" applyNumberFormat="1" applyFont="1" applyFill="1" applyAlignment="1">
      <alignment horizontal="center"/>
    </xf>
    <xf numFmtId="9" fontId="12" fillId="6" borderId="0" xfId="0" applyNumberFormat="1" applyFont="1" applyFill="1"/>
    <xf numFmtId="0" fontId="12" fillId="6" borderId="0" xfId="0" applyFont="1" applyFill="1"/>
    <xf numFmtId="0" fontId="3" fillId="3" borderId="25" xfId="0" applyFont="1" applyFill="1" applyBorder="1"/>
    <xf numFmtId="0" fontId="3" fillId="3" borderId="26" xfId="0" applyFont="1" applyFill="1" applyBorder="1"/>
    <xf numFmtId="171" fontId="0" fillId="3" borderId="26" xfId="0" applyNumberFormat="1" applyFill="1" applyBorder="1" applyAlignment="1">
      <alignment horizontal="center"/>
    </xf>
    <xf numFmtId="171" fontId="0" fillId="3" borderId="27" xfId="0" applyNumberFormat="1" applyFill="1" applyBorder="1" applyAlignment="1">
      <alignment horizontal="center"/>
    </xf>
    <xf numFmtId="0" fontId="4" fillId="3" borderId="26" xfId="0" applyFont="1" applyFill="1" applyBorder="1"/>
    <xf numFmtId="0" fontId="19" fillId="3" borderId="12" xfId="0" applyFont="1" applyFill="1" applyBorder="1"/>
    <xf numFmtId="10" fontId="19" fillId="3" borderId="14" xfId="3" applyNumberFormat="1" applyFont="1" applyFill="1" applyBorder="1" applyAlignment="1">
      <alignment horizontal="center"/>
    </xf>
    <xf numFmtId="0" fontId="19" fillId="3" borderId="23" xfId="0" applyFont="1" applyFill="1" applyBorder="1"/>
    <xf numFmtId="175" fontId="19" fillId="3" borderId="20" xfId="0" applyNumberFormat="1" applyFont="1" applyFill="1" applyBorder="1" applyAlignment="1">
      <alignment horizontal="center"/>
    </xf>
    <xf numFmtId="171" fontId="12" fillId="2" borderId="0" xfId="0" applyNumberFormat="1" applyFont="1" applyFill="1" applyAlignment="1">
      <alignment horizontal="center"/>
    </xf>
    <xf numFmtId="14" fontId="11" fillId="2" borderId="0" xfId="0" applyNumberFormat="1" applyFont="1" applyFill="1" applyAlignment="1">
      <alignment horizontal="center"/>
    </xf>
    <xf numFmtId="0" fontId="19" fillId="3" borderId="0" xfId="0" applyFont="1" applyFill="1"/>
    <xf numFmtId="171" fontId="3" fillId="3" borderId="25" xfId="0" applyNumberFormat="1" applyFont="1" applyFill="1" applyBorder="1"/>
    <xf numFmtId="171" fontId="0" fillId="3" borderId="0" xfId="0" applyNumberFormat="1" applyFill="1" applyAlignment="1">
      <alignment horizontal="center"/>
    </xf>
    <xf numFmtId="5" fontId="0" fillId="3" borderId="0" xfId="0" applyNumberFormat="1" applyFill="1" applyAlignment="1">
      <alignment horizontal="center"/>
    </xf>
    <xf numFmtId="0" fontId="32" fillId="6" borderId="0" xfId="0" applyFont="1" applyFill="1"/>
    <xf numFmtId="14" fontId="32" fillId="6" borderId="0" xfId="0" applyNumberFormat="1" applyFont="1" applyFill="1" applyAlignment="1">
      <alignment horizontal="left"/>
    </xf>
    <xf numFmtId="0" fontId="2" fillId="3" borderId="25" xfId="0" applyFont="1" applyFill="1" applyBorder="1"/>
    <xf numFmtId="171" fontId="13" fillId="2" borderId="0" xfId="0" applyNumberFormat="1" applyFont="1" applyFill="1"/>
    <xf numFmtId="171" fontId="9" fillId="2" borderId="0" xfId="0" applyNumberFormat="1" applyFont="1" applyFill="1"/>
    <xf numFmtId="1" fontId="4" fillId="2" borderId="0" xfId="0" applyNumberFormat="1" applyFont="1" applyFill="1" applyAlignment="1">
      <alignment horizontal="center" vertical="center"/>
    </xf>
    <xf numFmtId="5" fontId="4" fillId="2" borderId="0" xfId="0" applyNumberFormat="1" applyFont="1" applyFill="1"/>
    <xf numFmtId="0" fontId="23" fillId="2" borderId="0" xfId="0" applyFont="1" applyFill="1" applyAlignment="1">
      <alignment horizontal="center" wrapText="1"/>
    </xf>
    <xf numFmtId="10" fontId="0" fillId="2" borderId="0" xfId="3" applyNumberFormat="1" applyFont="1" applyFill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171" fontId="0" fillId="2" borderId="0" xfId="3" applyNumberFormat="1" applyFont="1" applyFill="1" applyBorder="1" applyAlignment="1">
      <alignment horizontal="center"/>
    </xf>
    <xf numFmtId="0" fontId="19" fillId="3" borderId="25" xfId="0" applyFont="1" applyFill="1" applyBorder="1"/>
    <xf numFmtId="0" fontId="19" fillId="3" borderId="26" xfId="0" applyFont="1" applyFill="1" applyBorder="1"/>
    <xf numFmtId="5" fontId="0" fillId="3" borderId="26" xfId="0" applyNumberFormat="1" applyFill="1" applyBorder="1" applyAlignment="1">
      <alignment horizontal="center"/>
    </xf>
    <xf numFmtId="5" fontId="0" fillId="3" borderId="27" xfId="0" applyNumberFormat="1" applyFill="1" applyBorder="1" applyAlignment="1">
      <alignment horizontal="center"/>
    </xf>
    <xf numFmtId="0" fontId="12" fillId="2" borderId="0" xfId="0" applyFont="1" applyFill="1"/>
    <xf numFmtId="0" fontId="24" fillId="2" borderId="0" xfId="0" applyFont="1" applyFill="1" applyAlignment="1">
      <alignment horizontal="center" wrapText="1"/>
    </xf>
    <xf numFmtId="0" fontId="11" fillId="6" borderId="0" xfId="0" applyFont="1" applyFill="1" applyAlignment="1">
      <alignment horizontal="center" wrapText="1"/>
    </xf>
    <xf numFmtId="5" fontId="31" fillId="2" borderId="0" xfId="0" applyNumberFormat="1" applyFont="1" applyFill="1" applyAlignment="1">
      <alignment horizontal="center"/>
    </xf>
    <xf numFmtId="5" fontId="31" fillId="2" borderId="22" xfId="0" applyNumberFormat="1" applyFont="1" applyFill="1" applyBorder="1" applyAlignment="1">
      <alignment horizontal="center"/>
    </xf>
    <xf numFmtId="0" fontId="0" fillId="0" borderId="0" xfId="0" applyAlignment="1">
      <alignment wrapText="1"/>
    </xf>
    <xf numFmtId="0" fontId="41" fillId="0" borderId="0" xfId="0" applyFont="1"/>
    <xf numFmtId="5" fontId="31" fillId="2" borderId="0" xfId="0" applyNumberFormat="1" applyFont="1" applyFill="1"/>
    <xf numFmtId="5" fontId="31" fillId="2" borderId="28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3" fontId="0" fillId="2" borderId="16" xfId="1" applyNumberFormat="1" applyFont="1" applyFill="1" applyBorder="1" applyAlignment="1">
      <alignment horizontal="center"/>
    </xf>
    <xf numFmtId="5" fontId="31" fillId="3" borderId="0" xfId="0" applyNumberFormat="1" applyFont="1" applyFill="1" applyAlignment="1">
      <alignment horizontal="center"/>
    </xf>
    <xf numFmtId="0" fontId="31" fillId="3" borderId="0" xfId="0" applyFont="1" applyFill="1" applyAlignment="1">
      <alignment horizontal="center"/>
    </xf>
    <xf numFmtId="0" fontId="2" fillId="3" borderId="12" xfId="0" applyFont="1" applyFill="1" applyBorder="1"/>
    <xf numFmtId="5" fontId="31" fillId="3" borderId="13" xfId="0" applyNumberFormat="1" applyFont="1" applyFill="1" applyBorder="1" applyAlignment="1">
      <alignment horizontal="center"/>
    </xf>
    <xf numFmtId="5" fontId="31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/>
    <xf numFmtId="5" fontId="31" fillId="3" borderId="16" xfId="0" applyNumberFormat="1" applyFont="1" applyFill="1" applyBorder="1" applyAlignment="1">
      <alignment horizontal="center"/>
    </xf>
    <xf numFmtId="0" fontId="2" fillId="3" borderId="23" xfId="0" applyFont="1" applyFill="1" applyBorder="1"/>
    <xf numFmtId="5" fontId="0" fillId="3" borderId="1" xfId="0" applyNumberFormat="1" applyFill="1" applyBorder="1" applyAlignment="1">
      <alignment horizontal="center"/>
    </xf>
    <xf numFmtId="5" fontId="0" fillId="3" borderId="20" xfId="0" applyNumberFormat="1" applyFill="1" applyBorder="1" applyAlignment="1">
      <alignment horizontal="center"/>
    </xf>
    <xf numFmtId="10" fontId="2" fillId="3" borderId="14" xfId="0" applyNumberFormat="1" applyFont="1" applyFill="1" applyBorder="1"/>
    <xf numFmtId="175" fontId="2" fillId="3" borderId="20" xfId="0" applyNumberFormat="1" applyFont="1" applyFill="1" applyBorder="1" applyAlignment="1">
      <alignment horizontal="right"/>
    </xf>
    <xf numFmtId="0" fontId="0" fillId="3" borderId="26" xfId="0" applyFill="1" applyBorder="1"/>
    <xf numFmtId="171" fontId="0" fillId="3" borderId="26" xfId="0" applyNumberFormat="1" applyFill="1" applyBorder="1"/>
    <xf numFmtId="0" fontId="39" fillId="3" borderId="0" xfId="4" applyFont="1" applyFill="1" applyAlignment="1">
      <alignment horizontal="center"/>
    </xf>
    <xf numFmtId="0" fontId="13" fillId="2" borderId="0" xfId="0" applyFont="1" applyFill="1" applyAlignment="1">
      <alignment horizontal="right"/>
    </xf>
    <xf numFmtId="0" fontId="36" fillId="2" borderId="0" xfId="4" applyFont="1" applyFill="1" applyAlignment="1">
      <alignment vertical="center"/>
    </xf>
    <xf numFmtId="0" fontId="37" fillId="2" borderId="0" xfId="4" applyFont="1" applyFill="1" applyAlignment="1">
      <alignment vertical="center"/>
    </xf>
    <xf numFmtId="0" fontId="15" fillId="2" borderId="0" xfId="4" applyFill="1" applyAlignment="1">
      <alignment vertical="center"/>
    </xf>
    <xf numFmtId="0" fontId="38" fillId="2" borderId="0" xfId="4" applyFont="1" applyFill="1" applyAlignment="1">
      <alignment horizontal="right" vertical="center"/>
    </xf>
    <xf numFmtId="0" fontId="39" fillId="2" borderId="0" xfId="4" applyFont="1" applyFill="1"/>
    <xf numFmtId="0" fontId="40" fillId="2" borderId="0" xfId="4" applyFont="1" applyFill="1" applyAlignment="1">
      <alignment horizontal="center"/>
    </xf>
    <xf numFmtId="0" fontId="39" fillId="2" borderId="0" xfId="4" applyFont="1" applyFill="1" applyAlignment="1">
      <alignment horizontal="center"/>
    </xf>
    <xf numFmtId="0" fontId="40" fillId="2" borderId="0" xfId="4" applyFont="1" applyFill="1"/>
    <xf numFmtId="0" fontId="39" fillId="2" borderId="0" xfId="4" applyFont="1" applyFill="1" applyAlignment="1">
      <alignment vertical="center"/>
    </xf>
    <xf numFmtId="0" fontId="39" fillId="2" borderId="0" xfId="4" applyFont="1" applyFill="1" applyAlignment="1">
      <alignment horizontal="right"/>
    </xf>
    <xf numFmtId="171" fontId="39" fillId="2" borderId="0" xfId="4" applyNumberFormat="1" applyFont="1" applyFill="1" applyAlignment="1">
      <alignment horizontal="center"/>
    </xf>
    <xf numFmtId="171" fontId="39" fillId="2" borderId="0" xfId="4" applyNumberFormat="1" applyFont="1" applyFill="1"/>
    <xf numFmtId="0" fontId="40" fillId="2" borderId="0" xfId="4" applyFont="1" applyFill="1" applyAlignment="1">
      <alignment horizontal="left"/>
    </xf>
    <xf numFmtId="0" fontId="40" fillId="2" borderId="0" xfId="4" applyFont="1" applyFill="1" applyAlignment="1">
      <alignment horizontal="right"/>
    </xf>
    <xf numFmtId="0" fontId="40" fillId="2" borderId="0" xfId="4" applyFont="1" applyFill="1" applyAlignment="1">
      <alignment horizontal="right" vertical="center"/>
    </xf>
    <xf numFmtId="0" fontId="40" fillId="2" borderId="0" xfId="4" applyFont="1" applyFill="1" applyAlignment="1">
      <alignment horizontal="left" vertical="center"/>
    </xf>
    <xf numFmtId="3" fontId="39" fillId="2" borderId="0" xfId="4" applyNumberFormat="1" applyFont="1" applyFill="1" applyAlignment="1">
      <alignment horizontal="center"/>
    </xf>
    <xf numFmtId="0" fontId="39" fillId="2" borderId="0" xfId="4" applyFont="1" applyFill="1" applyAlignment="1">
      <alignment wrapText="1"/>
    </xf>
    <xf numFmtId="0" fontId="15" fillId="2" borderId="0" xfId="4" applyFill="1"/>
    <xf numFmtId="6" fontId="15" fillId="2" borderId="0" xfId="4" applyNumberFormat="1" applyFill="1" applyAlignment="1">
      <alignment horizontal="center"/>
    </xf>
    <xf numFmtId="6" fontId="34" fillId="2" borderId="0" xfId="0" applyNumberFormat="1" applyFont="1" applyFill="1" applyAlignment="1">
      <alignment horizontal="center"/>
    </xf>
    <xf numFmtId="0" fontId="15" fillId="2" borderId="0" xfId="0" applyFont="1" applyFill="1" applyAlignment="1">
      <alignment horizontal="right"/>
    </xf>
    <xf numFmtId="9" fontId="15" fillId="2" borderId="0" xfId="3" applyFont="1" applyFill="1" applyBorder="1" applyAlignment="1">
      <alignment horizontal="center"/>
    </xf>
    <xf numFmtId="0" fontId="40" fillId="3" borderId="25" xfId="4" applyFont="1" applyFill="1" applyBorder="1" applyAlignment="1">
      <alignment horizontal="left"/>
    </xf>
    <xf numFmtId="171" fontId="39" fillId="3" borderId="26" xfId="4" applyNumberFormat="1" applyFont="1" applyFill="1" applyBorder="1" applyAlignment="1">
      <alignment horizontal="center"/>
    </xf>
    <xf numFmtId="171" fontId="39" fillId="3" borderId="27" xfId="4" applyNumberFormat="1" applyFont="1" applyFill="1" applyBorder="1" applyAlignment="1">
      <alignment horizontal="center"/>
    </xf>
    <xf numFmtId="0" fontId="39" fillId="3" borderId="26" xfId="4" applyFont="1" applyFill="1" applyBorder="1" applyAlignment="1">
      <alignment horizontal="center"/>
    </xf>
    <xf numFmtId="0" fontId="40" fillId="3" borderId="25" xfId="4" applyFont="1" applyFill="1" applyBorder="1" applyAlignment="1">
      <alignment horizontal="right"/>
    </xf>
    <xf numFmtId="0" fontId="40" fillId="3" borderId="12" xfId="4" applyFont="1" applyFill="1" applyBorder="1"/>
    <xf numFmtId="9" fontId="42" fillId="3" borderId="13" xfId="4" applyNumberFormat="1" applyFont="1" applyFill="1" applyBorder="1" applyAlignment="1">
      <alignment horizontal="center"/>
    </xf>
    <xf numFmtId="6" fontId="39" fillId="3" borderId="14" xfId="4" applyNumberFormat="1" applyFont="1" applyFill="1" applyBorder="1" applyAlignment="1">
      <alignment horizontal="center"/>
    </xf>
    <xf numFmtId="0" fontId="40" fillId="3" borderId="15" xfId="4" applyFont="1" applyFill="1" applyBorder="1" applyAlignment="1">
      <alignment horizontal="left"/>
    </xf>
    <xf numFmtId="9" fontId="39" fillId="3" borderId="16" xfId="4" applyNumberFormat="1" applyFont="1" applyFill="1" applyBorder="1" applyAlignment="1">
      <alignment horizontal="center"/>
    </xf>
    <xf numFmtId="0" fontId="40" fillId="3" borderId="15" xfId="4" applyFont="1" applyFill="1" applyBorder="1"/>
    <xf numFmtId="0" fontId="40" fillId="3" borderId="23" xfId="4" applyFont="1" applyFill="1" applyBorder="1"/>
    <xf numFmtId="0" fontId="39" fillId="3" borderId="1" xfId="4" applyFont="1" applyFill="1" applyBorder="1" applyAlignment="1">
      <alignment horizontal="center"/>
    </xf>
    <xf numFmtId="9" fontId="39" fillId="3" borderId="20" xfId="4" applyNumberFormat="1" applyFont="1" applyFill="1" applyBorder="1" applyAlignment="1">
      <alignment horizontal="center"/>
    </xf>
    <xf numFmtId="0" fontId="39" fillId="3" borderId="13" xfId="4" applyFont="1" applyFill="1" applyBorder="1"/>
    <xf numFmtId="171" fontId="39" fillId="3" borderId="14" xfId="4" applyNumberFormat="1" applyFont="1" applyFill="1" applyBorder="1" applyAlignment="1">
      <alignment horizontal="center"/>
    </xf>
    <xf numFmtId="0" fontId="39" fillId="3" borderId="1" xfId="4" applyFont="1" applyFill="1" applyBorder="1"/>
    <xf numFmtId="171" fontId="39" fillId="3" borderId="20" xfId="4" applyNumberFormat="1" applyFont="1" applyFill="1" applyBorder="1"/>
    <xf numFmtId="0" fontId="40" fillId="2" borderId="12" xfId="4" applyFont="1" applyFill="1" applyBorder="1" applyAlignment="1">
      <alignment horizontal="right"/>
    </xf>
    <xf numFmtId="0" fontId="34" fillId="2" borderId="13" xfId="0" applyFont="1" applyFill="1" applyBorder="1" applyAlignment="1">
      <alignment horizontal="center"/>
    </xf>
    <xf numFmtId="0" fontId="15" fillId="2" borderId="13" xfId="4" applyFill="1" applyBorder="1" applyAlignment="1">
      <alignment horizontal="center"/>
    </xf>
    <xf numFmtId="0" fontId="40" fillId="2" borderId="15" xfId="4" applyFont="1" applyFill="1" applyBorder="1" applyAlignment="1">
      <alignment horizontal="right"/>
    </xf>
    <xf numFmtId="0" fontId="40" fillId="2" borderId="23" xfId="4" applyFont="1" applyFill="1" applyBorder="1" applyAlignment="1">
      <alignment horizontal="right"/>
    </xf>
    <xf numFmtId="0" fontId="37" fillId="2" borderId="1" xfId="4" applyFont="1" applyFill="1" applyBorder="1" applyAlignment="1">
      <alignment horizontal="center"/>
    </xf>
    <xf numFmtId="0" fontId="39" fillId="2" borderId="13" xfId="4" applyFont="1" applyFill="1" applyBorder="1"/>
    <xf numFmtId="0" fontId="15" fillId="2" borderId="13" xfId="4" applyFill="1" applyBorder="1" applyAlignment="1">
      <alignment horizontal="right"/>
    </xf>
    <xf numFmtId="0" fontId="15" fillId="2" borderId="14" xfId="4" applyFill="1" applyBorder="1" applyAlignment="1">
      <alignment horizontal="right"/>
    </xf>
    <xf numFmtId="0" fontId="39" fillId="2" borderId="15" xfId="4" applyFont="1" applyFill="1" applyBorder="1" applyAlignment="1">
      <alignment vertical="center"/>
    </xf>
    <xf numFmtId="9" fontId="15" fillId="2" borderId="16" xfId="3" applyFont="1" applyFill="1" applyBorder="1" applyAlignment="1">
      <alignment horizontal="center"/>
    </xf>
    <xf numFmtId="0" fontId="39" fillId="2" borderId="15" xfId="4" applyFont="1" applyFill="1" applyBorder="1"/>
    <xf numFmtId="0" fontId="43" fillId="6" borderId="1" xfId="4" applyFont="1" applyFill="1" applyBorder="1" applyAlignment="1">
      <alignment horizontal="center"/>
    </xf>
    <xf numFmtId="0" fontId="44" fillId="6" borderId="1" xfId="4" applyFont="1" applyFill="1" applyBorder="1" applyAlignment="1">
      <alignment horizontal="right"/>
    </xf>
    <xf numFmtId="0" fontId="44" fillId="6" borderId="1" xfId="4" applyFont="1" applyFill="1" applyBorder="1" applyAlignment="1">
      <alignment horizontal="center"/>
    </xf>
    <xf numFmtId="0" fontId="39" fillId="6" borderId="0" xfId="4" applyFont="1" applyFill="1"/>
    <xf numFmtId="0" fontId="39" fillId="6" borderId="0" xfId="4" applyFont="1" applyFill="1" applyAlignment="1">
      <alignment horizontal="center"/>
    </xf>
    <xf numFmtId="0" fontId="44" fillId="6" borderId="0" xfId="4" applyFont="1" applyFill="1"/>
    <xf numFmtId="0" fontId="44" fillId="6" borderId="1" xfId="4" applyFont="1" applyFill="1" applyBorder="1" applyAlignment="1">
      <alignment horizontal="right" wrapText="1"/>
    </xf>
    <xf numFmtId="0" fontId="12" fillId="6" borderId="1" xfId="0" applyFont="1" applyFill="1" applyBorder="1"/>
    <xf numFmtId="0" fontId="44" fillId="6" borderId="0" xfId="4" applyFont="1" applyFill="1" applyAlignment="1">
      <alignment horizontal="center"/>
    </xf>
    <xf numFmtId="0" fontId="43" fillId="6" borderId="0" xfId="4" applyFont="1" applyFill="1"/>
    <xf numFmtId="0" fontId="43" fillId="6" borderId="0" xfId="4" applyFont="1" applyFill="1" applyAlignment="1">
      <alignment horizontal="center"/>
    </xf>
    <xf numFmtId="0" fontId="44" fillId="6" borderId="0" xfId="4" applyFont="1" applyFill="1" applyAlignment="1">
      <alignment horizontal="right"/>
    </xf>
    <xf numFmtId="0" fontId="33" fillId="2" borderId="0" xfId="4" applyFont="1" applyFill="1" applyAlignment="1">
      <alignment horizontal="left" vertical="center"/>
    </xf>
    <xf numFmtId="0" fontId="36" fillId="2" borderId="0" xfId="4" applyFont="1" applyFill="1" applyAlignment="1">
      <alignment horizontal="left" vertical="center"/>
    </xf>
    <xf numFmtId="0" fontId="0" fillId="2" borderId="12" xfId="0" applyFill="1" applyBorder="1"/>
    <xf numFmtId="14" fontId="0" fillId="2" borderId="13" xfId="0" applyNumberFormat="1" applyFill="1" applyBorder="1"/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14" fontId="0" fillId="2" borderId="1" xfId="0" applyNumberFormat="1" applyFill="1" applyBorder="1"/>
    <xf numFmtId="171" fontId="0" fillId="2" borderId="1" xfId="0" applyNumberFormat="1" applyFill="1" applyBorder="1"/>
    <xf numFmtId="171" fontId="9" fillId="2" borderId="14" xfId="0" applyNumberFormat="1" applyFont="1" applyFill="1" applyBorder="1" applyAlignment="1">
      <alignment horizontal="center"/>
    </xf>
    <xf numFmtId="14" fontId="0" fillId="2" borderId="14" xfId="0" applyNumberFormat="1" applyFill="1" applyBorder="1" applyAlignment="1">
      <alignment horizontal="center"/>
    </xf>
    <xf numFmtId="14" fontId="0" fillId="2" borderId="16" xfId="0" applyNumberFormat="1" applyFill="1" applyBorder="1" applyAlignment="1">
      <alignment horizontal="center"/>
    </xf>
    <xf numFmtId="14" fontId="0" fillId="2" borderId="20" xfId="0" applyNumberFormat="1" applyFill="1" applyBorder="1" applyAlignment="1">
      <alignment horizontal="center"/>
    </xf>
    <xf numFmtId="0" fontId="35" fillId="2" borderId="0" xfId="4" applyFont="1" applyFill="1" applyAlignment="1">
      <alignment vertical="center"/>
    </xf>
    <xf numFmtId="0" fontId="11" fillId="6" borderId="12" xfId="0" applyFont="1" applyFill="1" applyBorder="1" applyAlignment="1">
      <alignment horizontal="center"/>
    </xf>
    <xf numFmtId="0" fontId="11" fillId="6" borderId="13" xfId="0" applyFont="1" applyFill="1" applyBorder="1"/>
    <xf numFmtId="0" fontId="11" fillId="6" borderId="13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0" fontId="2" fillId="2" borderId="12" xfId="0" applyFont="1" applyFill="1" applyBorder="1"/>
    <xf numFmtId="0" fontId="2" fillId="2" borderId="15" xfId="0" applyFont="1" applyFill="1" applyBorder="1"/>
    <xf numFmtId="0" fontId="9" fillId="2" borderId="16" xfId="0" applyFont="1" applyFill="1" applyBorder="1"/>
    <xf numFmtId="0" fontId="2" fillId="2" borderId="23" xfId="0" applyFont="1" applyFill="1" applyBorder="1"/>
    <xf numFmtId="9" fontId="9" fillId="2" borderId="20" xfId="0" applyNumberFormat="1" applyFont="1" applyFill="1" applyBorder="1"/>
    <xf numFmtId="9" fontId="15" fillId="2" borderId="0" xfId="3" applyFont="1" applyFill="1" applyBorder="1" applyAlignment="1">
      <alignment horizontal="center"/>
    </xf>
    <xf numFmtId="9" fontId="15" fillId="2" borderId="16" xfId="3" applyFont="1" applyFill="1" applyBorder="1" applyAlignment="1">
      <alignment horizontal="center"/>
    </xf>
    <xf numFmtId="3" fontId="39" fillId="2" borderId="0" xfId="4" applyNumberFormat="1" applyFont="1" applyFill="1" applyAlignment="1">
      <alignment horizontal="center"/>
    </xf>
    <xf numFmtId="6" fontId="15" fillId="2" borderId="13" xfId="4" applyNumberFormat="1" applyFill="1" applyBorder="1" applyAlignment="1">
      <alignment horizontal="center"/>
    </xf>
    <xf numFmtId="6" fontId="15" fillId="2" borderId="14" xfId="4" applyNumberFormat="1" applyFill="1" applyBorder="1" applyAlignment="1">
      <alignment horizontal="center"/>
    </xf>
    <xf numFmtId="171" fontId="39" fillId="2" borderId="0" xfId="4" applyNumberFormat="1" applyFont="1" applyFill="1" applyAlignment="1">
      <alignment horizontal="center"/>
    </xf>
    <xf numFmtId="6" fontId="15" fillId="2" borderId="0" xfId="4" applyNumberFormat="1" applyFill="1" applyAlignment="1">
      <alignment horizontal="center"/>
    </xf>
    <xf numFmtId="6" fontId="15" fillId="2" borderId="16" xfId="4" applyNumberFormat="1" applyFill="1" applyBorder="1" applyAlignment="1">
      <alignment horizontal="center"/>
    </xf>
    <xf numFmtId="0" fontId="37" fillId="2" borderId="1" xfId="4" applyFont="1" applyFill="1" applyBorder="1" applyAlignment="1">
      <alignment horizontal="center"/>
    </xf>
    <xf numFmtId="6" fontId="15" fillId="2" borderId="1" xfId="4" applyNumberFormat="1" applyFill="1" applyBorder="1" applyAlignment="1">
      <alignment horizontal="center"/>
    </xf>
    <xf numFmtId="0" fontId="15" fillId="2" borderId="20" xfId="4" applyFill="1" applyBorder="1" applyAlignment="1">
      <alignment horizontal="center"/>
    </xf>
    <xf numFmtId="0" fontId="40" fillId="2" borderId="23" xfId="4" applyFont="1" applyFill="1" applyBorder="1" applyAlignment="1">
      <alignment horizontal="left"/>
    </xf>
    <xf numFmtId="171" fontId="15" fillId="2" borderId="1" xfId="4" applyNumberFormat="1" applyFill="1" applyBorder="1" applyAlignment="1">
      <alignment horizontal="center"/>
    </xf>
    <xf numFmtId="9" fontId="15" fillId="2" borderId="1" xfId="4" applyNumberFormat="1" applyFill="1" applyBorder="1" applyAlignment="1">
      <alignment horizontal="center"/>
    </xf>
    <xf numFmtId="6" fontId="34" fillId="2" borderId="0" xfId="0" applyNumberFormat="1" applyFont="1" applyFill="1" applyAlignment="1">
      <alignment horizontal="center"/>
    </xf>
    <xf numFmtId="0" fontId="15" fillId="2" borderId="0" xfId="4" applyFill="1" applyAlignment="1">
      <alignment horizontal="right"/>
    </xf>
    <xf numFmtId="10" fontId="15" fillId="2" borderId="0" xfId="3" applyNumberFormat="1" applyFont="1" applyFill="1" applyBorder="1" applyAlignment="1">
      <alignment horizontal="center"/>
    </xf>
    <xf numFmtId="10" fontId="15" fillId="2" borderId="16" xfId="3" applyNumberFormat="1" applyFont="1" applyFill="1" applyBorder="1" applyAlignment="1">
      <alignment horizontal="center"/>
    </xf>
    <xf numFmtId="0" fontId="44" fillId="6" borderId="0" xfId="4" applyFont="1" applyFill="1" applyAlignment="1">
      <alignment horizontal="center"/>
    </xf>
    <xf numFmtId="0" fontId="46" fillId="6" borderId="0" xfId="4" applyFont="1" applyFill="1" applyAlignment="1">
      <alignment horizontal="center"/>
    </xf>
    <xf numFmtId="0" fontId="39" fillId="2" borderId="0" xfId="4" applyFont="1" applyFill="1" applyAlignment="1">
      <alignment horizontal="right"/>
    </xf>
    <xf numFmtId="178" fontId="39" fillId="2" borderId="0" xfId="4" applyNumberFormat="1" applyFont="1" applyFill="1" applyAlignment="1">
      <alignment horizontal="center"/>
    </xf>
    <xf numFmtId="178" fontId="15" fillId="2" borderId="0" xfId="4" applyNumberFormat="1" applyFill="1" applyAlignment="1">
      <alignment horizontal="center"/>
    </xf>
    <xf numFmtId="177" fontId="39" fillId="2" borderId="0" xfId="4" applyNumberFormat="1" applyFont="1" applyFill="1" applyAlignment="1">
      <alignment horizontal="center"/>
    </xf>
    <xf numFmtId="177" fontId="15" fillId="2" borderId="0" xfId="4" applyNumberFormat="1" applyFill="1" applyAlignment="1">
      <alignment horizontal="center"/>
    </xf>
    <xf numFmtId="176" fontId="39" fillId="2" borderId="0" xfId="4" applyNumberFormat="1" applyFont="1" applyFill="1" applyAlignment="1">
      <alignment horizontal="center"/>
    </xf>
    <xf numFmtId="176" fontId="15" fillId="2" borderId="0" xfId="4" applyNumberFormat="1" applyFill="1" applyAlignment="1">
      <alignment horizontal="center"/>
    </xf>
    <xf numFmtId="0" fontId="40" fillId="2" borderId="12" xfId="4" applyFont="1" applyFill="1" applyBorder="1" applyAlignment="1">
      <alignment vertical="center"/>
    </xf>
    <xf numFmtId="0" fontId="36" fillId="2" borderId="0" xfId="4" applyFont="1" applyFill="1" applyAlignment="1">
      <alignment vertical="center"/>
    </xf>
    <xf numFmtId="0" fontId="15" fillId="2" borderId="0" xfId="4" applyFill="1" applyAlignment="1">
      <alignment vertical="center"/>
    </xf>
    <xf numFmtId="0" fontId="44" fillId="6" borderId="1" xfId="4" applyFont="1" applyFill="1" applyBorder="1" applyAlignment="1">
      <alignment horizontal="center" wrapText="1"/>
    </xf>
    <xf numFmtId="0" fontId="45" fillId="6" borderId="1" xfId="4" applyFont="1" applyFill="1" applyBorder="1" applyAlignment="1">
      <alignment horizontal="center" wrapText="1"/>
    </xf>
    <xf numFmtId="0" fontId="46" fillId="6" borderId="1" xfId="4" applyFont="1" applyFill="1" applyBorder="1" applyAlignment="1">
      <alignment wrapText="1"/>
    </xf>
    <xf numFmtId="0" fontId="39" fillId="2" borderId="0" xfId="4" applyFont="1" applyFill="1" applyAlignment="1">
      <alignment horizontal="center"/>
    </xf>
    <xf numFmtId="0" fontId="44" fillId="6" borderId="1" xfId="4" applyFont="1" applyFill="1" applyBorder="1" applyAlignment="1">
      <alignment horizontal="center"/>
    </xf>
    <xf numFmtId="0" fontId="43" fillId="6" borderId="1" xfId="4" applyFont="1" applyFill="1" applyBorder="1" applyAlignment="1">
      <alignment horizontal="center"/>
    </xf>
    <xf numFmtId="171" fontId="39" fillId="3" borderId="26" xfId="4" applyNumberFormat="1" applyFont="1" applyFill="1" applyBorder="1" applyAlignment="1">
      <alignment horizontal="center"/>
    </xf>
    <xf numFmtId="0" fontId="43" fillId="6" borderId="0" xfId="4" applyFont="1" applyFill="1" applyAlignment="1">
      <alignment horizontal="center"/>
    </xf>
    <xf numFmtId="0" fontId="3" fillId="2" borderId="1" xfId="0" applyFont="1" applyFill="1" applyBorder="1" applyAlignment="1">
      <alignment horizontal="left" vertical="center"/>
    </xf>
    <xf numFmtId="0" fontId="0" fillId="2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43" fontId="8" fillId="2" borderId="12" xfId="1" applyFont="1" applyFill="1" applyBorder="1" applyAlignment="1">
      <alignment horizontal="center"/>
    </xf>
    <xf numFmtId="43" fontId="8" fillId="2" borderId="13" xfId="1" applyFont="1" applyFill="1" applyBorder="1" applyAlignment="1">
      <alignment horizontal="center"/>
    </xf>
    <xf numFmtId="43" fontId="8" fillId="2" borderId="14" xfId="1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43" fillId="6" borderId="0" xfId="4" applyFont="1" applyFill="1" applyAlignment="1"/>
    <xf numFmtId="0" fontId="39" fillId="2" borderId="0" xfId="4" applyFont="1" applyFill="1" applyAlignment="1"/>
    <xf numFmtId="0" fontId="15" fillId="2" borderId="13" xfId="4" applyFill="1" applyBorder="1" applyAlignment="1"/>
    <xf numFmtId="0" fontId="40" fillId="2" borderId="15" xfId="4" applyFont="1" applyFill="1" applyBorder="1" applyAlignment="1"/>
    <xf numFmtId="0" fontId="15" fillId="2" borderId="0" xfId="4" applyFill="1" applyAlignment="1"/>
    <xf numFmtId="0" fontId="15" fillId="2" borderId="1" xfId="4" applyFill="1" applyBorder="1" applyAlignment="1"/>
  </cellXfs>
  <cellStyles count="5">
    <cellStyle name="Comma" xfId="1" builtinId="3"/>
    <cellStyle name="Currency" xfId="2" builtinId="4"/>
    <cellStyle name="Normal" xfId="0" builtinId="0"/>
    <cellStyle name="Normal 2" xfId="4" xr:uid="{7FAA238E-2ECB-5342-B307-82518C5554F9}"/>
    <cellStyle name="Percent" xfId="3" builtinId="5"/>
  </cellStyles>
  <dxfs count="0"/>
  <tableStyles count="0" defaultTableStyle="TableStyleMedium2" defaultPivotStyle="PivotStyleLight16"/>
  <colors>
    <mruColors>
      <color rgb="FF00826E"/>
      <color rgb="FFE0384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165100</xdr:colOff>
      <xdr:row>28</xdr:row>
      <xdr:rowOff>76200</xdr:rowOff>
    </xdr:from>
    <xdr:to>
      <xdr:col>9</xdr:col>
      <xdr:colOff>76200</xdr:colOff>
      <xdr:row>57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FF8A02-2BBA-1046-ADF9-EF211A219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6400" y="5765800"/>
          <a:ext cx="7048500" cy="60071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Gretchen Sweeney" id="{5BDAE39E-11A1-7C40-B357-4DB98B2DF772}" userId="S::gretchen.sweeney@uli.org::3cd205f4-d234-4f41-9ae9-d351ecd60fde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1" dT="2020-12-08T21:23:20.15" personId="{5BDAE39E-11A1-7C40-B357-4DB98B2DF772}" id="{57FFDB91-38CC-2547-9B51-85A1A9729CFA}">
    <text>Enter Team Code and then erase this comment. You can also add your team code by editing Page Layout &gt; Print Tiles &gt; Header.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848B7-2969-364D-A6E2-9CFE037806B5}">
  <sheetPr>
    <tabColor rgb="FFFFC000"/>
  </sheetPr>
  <dimension ref="A1:N88"/>
  <sheetViews>
    <sheetView tabSelected="1" view="pageBreakPreview" topLeftCell="A20" zoomScale="60" zoomScaleNormal="100" workbookViewId="0">
      <selection activeCell="Y56" sqref="Y56"/>
    </sheetView>
  </sheetViews>
  <sheetFormatPr defaultColWidth="10.875" defaultRowHeight="15.95"/>
  <cols>
    <col min="1" max="1" width="24" style="1" bestFit="1" customWidth="1"/>
    <col min="2" max="2" width="28" style="1" bestFit="1" customWidth="1"/>
    <col min="3" max="3" width="11.875" style="1" bestFit="1" customWidth="1"/>
    <col min="4" max="4" width="12.625" style="1" bestFit="1" customWidth="1"/>
    <col min="5" max="5" width="12.875" style="1" bestFit="1" customWidth="1"/>
    <col min="6" max="6" width="15.875" style="1" customWidth="1"/>
    <col min="7" max="7" width="11.5" style="1" bestFit="1" customWidth="1"/>
    <col min="8" max="8" width="12.125" style="1" bestFit="1" customWidth="1"/>
    <col min="9" max="9" width="11.5" style="1" bestFit="1" customWidth="1"/>
    <col min="10" max="11" width="12.375" style="1" bestFit="1" customWidth="1"/>
    <col min="12" max="12" width="10.875" style="1"/>
    <col min="13" max="13" width="4.875" style="1" customWidth="1"/>
    <col min="14" max="14" width="13" style="1" bestFit="1" customWidth="1"/>
    <col min="15" max="16384" width="10.875" style="1"/>
  </cols>
  <sheetData>
    <row r="1" spans="1:14">
      <c r="A1" s="346" t="s">
        <v>0</v>
      </c>
      <c r="B1" s="423" t="s">
        <v>1</v>
      </c>
      <c r="C1" s="347"/>
      <c r="D1" s="348"/>
      <c r="E1" s="348"/>
      <c r="F1" s="348"/>
      <c r="G1" s="348"/>
      <c r="H1" s="348"/>
      <c r="I1" s="348"/>
      <c r="J1" s="348"/>
      <c r="K1" s="348"/>
      <c r="L1" s="348"/>
      <c r="M1" s="349" t="s">
        <v>2</v>
      </c>
      <c r="N1" s="411" t="s">
        <v>3</v>
      </c>
    </row>
    <row r="2" spans="1:14">
      <c r="A2" s="350"/>
      <c r="B2" s="408"/>
      <c r="C2" s="407" t="s">
        <v>4</v>
      </c>
      <c r="D2" s="407" t="str">
        <f>IF(D3=YEAR(Assumptions!$E$4)+1,Assumptions!$C$4,IF(D3=YEAR(Assumptions!$E$5)+1,Assumptions!$C$5,IF(D3=YEAR(Assumptions!$E$6)+1,Assumptions!$C$6,"")))</f>
        <v>Phase I</v>
      </c>
      <c r="E2" s="407" t="str">
        <f>IF(E3=YEAR(Assumptions!$E$4)+1,Assumptions!$C$4,IF(E3=YEAR(Assumptions!$E$5)+1,Assumptions!$C$5,IF(E3=YEAR(Assumptions!$E$6)+1,Assumptions!$C$6,"")))</f>
        <v/>
      </c>
      <c r="F2" s="407" t="str">
        <f>IF(F3=YEAR(Assumptions!$E$4)+1,Assumptions!$C$4,IF(F3=YEAR(Assumptions!$E$5)+1,Assumptions!$C$5,IF(F3=YEAR(Assumptions!$E$6)+1,Assumptions!$C$6,"")))</f>
        <v>Phase II</v>
      </c>
      <c r="G2" s="407" t="str">
        <f>IF(G3=YEAR(Assumptions!$E$4)+1,Assumptions!$C$4,IF(G3=YEAR(Assumptions!$E$5)+1,Assumptions!$C$5,IF(G3=YEAR(Assumptions!$E$6)+1,Assumptions!$C$6,"")))</f>
        <v/>
      </c>
      <c r="H2" s="407" t="str">
        <f>IF(H3=YEAR(Assumptions!$E$4)+1,Assumptions!$C$4,IF(H3=YEAR(Assumptions!$E$5)+1,Assumptions!$C$5,IF(H3=YEAR(Assumptions!$E$6)+1,Assumptions!$C$6,"")))</f>
        <v>Phase III</v>
      </c>
      <c r="I2" s="407" t="str">
        <f>IF(I3=YEAR(Assumptions!$E$4)+1,Assumptions!$C$4,IF(I3=YEAR(Assumptions!$E$5)+1,Assumptions!$C$5,IF(I3=YEAR(Assumptions!$E$6)+1,Assumptions!$C$6,"")))</f>
        <v/>
      </c>
      <c r="J2" s="407" t="str">
        <f>IF(J3=YEAR(Assumptions!$E$4)+1,Assumptions!$C$4,IF(J3=YEAR(Assumptions!$E$5)+1,Assumptions!$C$5,IF(J3=YEAR(Assumptions!$E$6)+1,Assumptions!$C$6,"")))</f>
        <v/>
      </c>
      <c r="K2" s="407" t="str">
        <f>IF(K3=YEAR(Assumptions!$E$4)+1,Assumptions!$C$4,IF(K3=YEAR(Assumptions!$E$5)+1,Assumptions!$C$5,IF(K3=YEAR(Assumptions!$E$6)+1,Assumptions!$C$6,"")))</f>
        <v/>
      </c>
      <c r="L2" s="407" t="str">
        <f>IF(L3=YEAR(Assumptions!$E$4)+1,Assumptions!$C$4,IF(L3=YEAR(Assumptions!$E$5)+1,Assumptions!$C$5,IF(L3=YEAR(Assumptions!$E$6)+1,Assumptions!$C$6,"")))</f>
        <v/>
      </c>
      <c r="M2" s="407" t="str">
        <f>IF(M3=YEAR(Assumptions!$E$4)+1,Assumptions!$C$4,IF(M3=YEAR(Assumptions!$E$5)+1,Assumptions!$C$5,IF(M3=YEAR(Assumptions!$E$6)+1,Assumptions!$C$6,"")))</f>
        <v/>
      </c>
      <c r="N2" s="407" t="str">
        <f>IF(N3=YEAR(Assumptions!$E$4)+1,Assumptions!$C$4,IF(N3=YEAR(Assumptions!$E$5)+1,Assumptions!$C$5,IF(N3=YEAR(Assumptions!$E$6)+1,Assumptions!$C$6,"")))</f>
        <v/>
      </c>
    </row>
    <row r="3" spans="1:14">
      <c r="A3" s="352"/>
      <c r="B3" s="409"/>
      <c r="C3" s="407">
        <v>2023</v>
      </c>
      <c r="D3" s="407">
        <v>2024</v>
      </c>
      <c r="E3" s="407">
        <f>D3+1</f>
        <v>2025</v>
      </c>
      <c r="F3" s="407">
        <f t="shared" ref="F3:K3" si="0">E3+1</f>
        <v>2026</v>
      </c>
      <c r="G3" s="407">
        <f t="shared" si="0"/>
        <v>2027</v>
      </c>
      <c r="H3" s="407">
        <f t="shared" si="0"/>
        <v>2028</v>
      </c>
      <c r="I3" s="407">
        <f t="shared" si="0"/>
        <v>2029</v>
      </c>
      <c r="J3" s="407">
        <f t="shared" si="0"/>
        <v>2030</v>
      </c>
      <c r="K3" s="407">
        <f t="shared" si="0"/>
        <v>2031</v>
      </c>
      <c r="L3" s="451">
        <f>K3+1</f>
        <v>2032</v>
      </c>
      <c r="M3" s="470"/>
      <c r="N3" s="407">
        <f>L3+1</f>
        <v>2033</v>
      </c>
    </row>
    <row r="4" spans="1:14">
      <c r="B4" s="404" t="s">
        <v>5</v>
      </c>
      <c r="C4" s="407"/>
      <c r="D4" s="408"/>
      <c r="E4" s="408"/>
      <c r="F4" s="408"/>
      <c r="G4" s="408"/>
      <c r="H4" s="408"/>
      <c r="I4" s="408"/>
      <c r="J4" s="408"/>
      <c r="K4" s="408"/>
      <c r="L4" s="481"/>
      <c r="M4" s="481"/>
      <c r="N4" s="408"/>
    </row>
    <row r="5" spans="1:14">
      <c r="A5" s="354"/>
      <c r="B5" s="355" t="s">
        <v>6</v>
      </c>
      <c r="C5" s="352"/>
      <c r="D5" s="356">
        <f ca="1">IFERROR(INDEX('Phase I Pro Forma'!$D$45:$R$45,1,MATCH('Official Summary'!D3,'Phase I Pro Forma'!$D$2:$R$2)),0)+IFERROR(INDEX('Phase II Pro Forma'!$D$45:$R$45,1,MATCH('Official Summary'!D3,'Phase II Pro Forma'!$D$2:$R$2)),0)+IFERROR(INDEX('Phase III Pro Forma'!$D$45:$R$45,1,MATCH('Official Summary'!D3,'Phase III Pro Forma'!$D$2:$R$2)),0)</f>
        <v>0</v>
      </c>
      <c r="E5" s="356">
        <f ca="1">IFERROR(INDEX('Phase I Pro Forma'!$D$45:$R$45,1,MATCH('Official Summary'!E3,'Phase I Pro Forma'!$D$2:$R$2)),0)+IFERROR(INDEX('Phase II Pro Forma'!$D$45:$R$45,1,MATCH('Official Summary'!E3,'Phase II Pro Forma'!$D$2:$R$2)),0)+IFERROR(INDEX('Phase III Pro Forma'!$D$45:$R$45,1,MATCH('Official Summary'!E3,'Phase III Pro Forma'!$D$2:$R$2)),0)</f>
        <v>0</v>
      </c>
      <c r="F5" s="356">
        <f ca="1">IFERROR(INDEX('Phase I Pro Forma'!$D$45:$R$45,1,MATCH('Official Summary'!F3,'Phase I Pro Forma'!$D$2:$R$2)),0)+IFERROR(INDEX('Phase II Pro Forma'!$D$45:$R$45,1,MATCH('Official Summary'!F3,'Phase II Pro Forma'!$D$2:$R$2)),0)+IFERROR(INDEX('Phase III Pro Forma'!$D$45:$R$45,1,MATCH('Official Summary'!F3,'Phase III Pro Forma'!$D$2:$R$2)),0)</f>
        <v>5526927.9992548199</v>
      </c>
      <c r="G5" s="356">
        <f ca="1">IFERROR(INDEX('Phase I Pro Forma'!$D$45:$R$45,1,MATCH('Official Summary'!G3,'Phase I Pro Forma'!$D$2:$R$2)),0)+IFERROR(INDEX('Phase II Pro Forma'!$D$45:$R$45,1,MATCH('Official Summary'!G3,'Phase II Pro Forma'!$D$2:$R$2)),0)+IFERROR(INDEX('Phase III Pro Forma'!$D$45:$R$45,1,MATCH('Official Summary'!G3,'Phase III Pro Forma'!$D$2:$R$2)),0)</f>
        <v>5692735.8392324643</v>
      </c>
      <c r="H5" s="356">
        <f ca="1">IFERROR(INDEX('Phase I Pro Forma'!$D$45:$R$45,1,MATCH('Official Summary'!H3,'Phase I Pro Forma'!$D$2:$R$2)),0)+IFERROR(INDEX('Phase II Pro Forma'!$D$45:$R$45,1,MATCH('Official Summary'!H3,'Phase II Pro Forma'!$D$2:$R$2)),0)+IFERROR(INDEX('Phase III Pro Forma'!$D$45:$R$45,1,MATCH('Official Summary'!H3,'Phase III Pro Forma'!$D$2:$R$2)),0)</f>
        <v>11727035.828818876</v>
      </c>
      <c r="I5" s="356">
        <f ca="1">IFERROR(INDEX('Phase I Pro Forma'!$D$45:$R$45,1,MATCH('Official Summary'!I3,'Phase I Pro Forma'!$D$2:$R$2)),0)+IFERROR(INDEX('Phase II Pro Forma'!$D$45:$R$45,1,MATCH('Official Summary'!I3,'Phase II Pro Forma'!$D$2:$R$2)),0)+IFERROR(INDEX('Phase III Pro Forma'!$D$45:$R$45,1,MATCH('Official Summary'!I3,'Phase III Pro Forma'!$D$2:$R$2)),0)</f>
        <v>18118270.355525166</v>
      </c>
      <c r="J5" s="356">
        <f ca="1">IFERROR(INDEX('Phase I Pro Forma'!$D$45:$R$45,1,MATCH('Official Summary'!J3,'Phase I Pro Forma'!$D$2:$R$2)),0)+IFERROR(INDEX('Phase II Pro Forma'!$D$45:$R$45,1,MATCH('Official Summary'!J3,'Phase II Pro Forma'!$D$2:$R$2)),0)+IFERROR(INDEX('Phase III Pro Forma'!$D$45:$R$45,1,MATCH('Official Summary'!J3,'Phase III Pro Forma'!$D$2:$R$2)),0)</f>
        <v>26437576.160437144</v>
      </c>
      <c r="K5" s="356">
        <f ca="1">IFERROR(INDEX('Phase I Pro Forma'!$D$45:$R$45,1,MATCH('Official Summary'!K3,'Phase I Pro Forma'!$D$2:$R$2)),0)+IFERROR(INDEX('Phase II Pro Forma'!$D$45:$R$45,1,MATCH('Official Summary'!K3,'Phase II Pro Forma'!$D$2:$R$2)),0)+IFERROR(INDEX('Phase III Pro Forma'!$D$45:$R$45,1,MATCH('Official Summary'!K3,'Phase III Pro Forma'!$D$2:$R$2)),0)</f>
        <v>27230703.445250254</v>
      </c>
      <c r="L5" s="438">
        <f ca="1">IFERROR(INDEX('Phase I Pro Forma'!$D$45:$R$45,1,MATCH('Official Summary'!L3,'Phase I Pro Forma'!$D$2:$R$2)),0)+IFERROR(INDEX('Phase II Pro Forma'!$D$45:$R$45,1,MATCH('Official Summary'!L3,'Phase II Pro Forma'!$D$2:$R$2)),0)+IFERROR(INDEX('Phase III Pro Forma'!$D$45:$R$45,1,MATCH('Official Summary'!L3,'Phase III Pro Forma'!$D$2:$R$2)),0)</f>
        <v>28047624.548607763</v>
      </c>
      <c r="M5" s="438"/>
      <c r="N5" s="356">
        <f ca="1">IFERROR(INDEX('Phase I Pro Forma'!$D$45:$R$45,1,MATCH('Official Summary'!N3,'Phase I Pro Forma'!$D$2:$R$2)),0)+IFERROR(INDEX('Phase II Pro Forma'!$D$45:$R$45,1,MATCH('Official Summary'!N3,'Phase II Pro Forma'!$D$2:$R$2)),0)+IFERROR(INDEX('Phase III Pro Forma'!$D$45:$R$45,1,MATCH('Official Summary'!N3,'Phase III Pro Forma'!$D$2:$R$2)),0)</f>
        <v>28889053.285065997</v>
      </c>
    </row>
    <row r="6" spans="1:14">
      <c r="A6" s="354"/>
      <c r="B6" s="355" t="s">
        <v>7</v>
      </c>
      <c r="C6" s="352"/>
      <c r="D6" s="356">
        <f ca="1">IFERROR(INDEX('Phase I Pro Forma'!$D$22:$R$22,1,MATCH('Official Summary'!D3,'Phase I Pro Forma'!$D$2:$R$2)),0)+IFERROR(INDEX('Phase II Pro Forma'!$D$22:$R$22,1,MATCH('Official Summary'!D3,'Phase II Pro Forma'!$D$2:$R$2)),0)+IFERROR(INDEX('Phase III Pro Forma'!$D$22:$R$22,1,MATCH('Official Summary'!D3,'Phase III Pro Forma'!$D$2:$R$2)),0)</f>
        <v>0</v>
      </c>
      <c r="E6" s="356">
        <f ca="1">IFERROR(INDEX('Phase I Pro Forma'!$D$22:$R$22,1,MATCH('Official Summary'!E3,'Phase I Pro Forma'!$D$2:$R$2)),0)+IFERROR(INDEX('Phase II Pro Forma'!$D$22:$R$22,1,MATCH('Official Summary'!E3,'Phase II Pro Forma'!$D$2:$R$2)),0)+IFERROR(INDEX('Phase III Pro Forma'!$D$22:$R$22,1,MATCH('Official Summary'!E3,'Phase III Pro Forma'!$D$2:$R$2)),0)</f>
        <v>0</v>
      </c>
      <c r="F6" s="356">
        <f ca="1">IFERROR(INDEX('Phase I Pro Forma'!$D$22:$R$22,1,MATCH('Official Summary'!F3,'Phase I Pro Forma'!$D$2:$R$2)),0)+IFERROR(INDEX('Phase II Pro Forma'!$D$22:$R$22,1,MATCH('Official Summary'!F3,'Phase II Pro Forma'!$D$2:$R$2)),0)+IFERROR(INDEX('Phase III Pro Forma'!$D$22:$R$22,1,MATCH('Official Summary'!F3,'Phase III Pro Forma'!$D$2:$R$2)),0)</f>
        <v>3077817.5552721862</v>
      </c>
      <c r="G6" s="356">
        <f ca="1">IFERROR(INDEX('Phase I Pro Forma'!$D$22:$R$22,1,MATCH('Official Summary'!G3,'Phase I Pro Forma'!$D$2:$R$2)),0)+IFERROR(INDEX('Phase II Pro Forma'!$D$22:$R$22,1,MATCH('Official Summary'!G3,'Phase II Pro Forma'!$D$2:$R$2)),0)+IFERROR(INDEX('Phase III Pro Forma'!$D$22:$R$22,1,MATCH('Official Summary'!G3,'Phase III Pro Forma'!$D$2:$R$2)),0)</f>
        <v>3123984.8186012688</v>
      </c>
      <c r="H6" s="356">
        <f ca="1">IFERROR(INDEX('Phase I Pro Forma'!$D$22:$R$22,1,MATCH('Official Summary'!H3,'Phase I Pro Forma'!$D$2:$R$2)),0)+IFERROR(INDEX('Phase II Pro Forma'!$D$22:$R$22,1,MATCH('Official Summary'!H3,'Phase II Pro Forma'!$D$2:$R$2)),0)+IFERROR(INDEX('Phase III Pro Forma'!$D$22:$R$22,1,MATCH('Official Summary'!H3,'Phase III Pro Forma'!$D$2:$R$2)),0)</f>
        <v>7220282.3909299886</v>
      </c>
      <c r="I6" s="356">
        <f ca="1">IFERROR(INDEX('Phase I Pro Forma'!$D$22:$R$22,1,MATCH('Official Summary'!I3,'Phase I Pro Forma'!$D$2:$R$2)),0)+IFERROR(INDEX('Phase II Pro Forma'!$D$22:$R$22,1,MATCH('Official Summary'!I3,'Phase II Pro Forma'!$D$2:$R$2)),0)+IFERROR(INDEX('Phase III Pro Forma'!$D$22:$R$22,1,MATCH('Official Summary'!I3,'Phase III Pro Forma'!$D$2:$R$2)),0)</f>
        <v>7328586.6267939378</v>
      </c>
      <c r="J6" s="356">
        <f ca="1">IFERROR(INDEX('Phase I Pro Forma'!$D$22:$R$22,1,MATCH('Official Summary'!J3,'Phase I Pro Forma'!$D$2:$R$2)),0)+IFERROR(INDEX('Phase II Pro Forma'!$D$22:$R$22,1,MATCH('Official Summary'!J3,'Phase II Pro Forma'!$D$2:$R$2)),0)+IFERROR(INDEX('Phase III Pro Forma'!$D$22:$R$22,1,MATCH('Official Summary'!J3,'Phase III Pro Forma'!$D$2:$R$2)),0)</f>
        <v>10045473.746849187</v>
      </c>
      <c r="K6" s="356">
        <f ca="1">IFERROR(INDEX('Phase I Pro Forma'!$D$22:$R$22,1,MATCH('Official Summary'!K3,'Phase I Pro Forma'!$D$2:$R$2)),0)+IFERROR(INDEX('Phase II Pro Forma'!$D$22:$R$22,1,MATCH('Official Summary'!K3,'Phase II Pro Forma'!$D$2:$R$2)),0)+IFERROR(INDEX('Phase III Pro Forma'!$D$22:$R$22,1,MATCH('Official Summary'!K3,'Phase III Pro Forma'!$D$2:$R$2)),0)</f>
        <v>10196155.853051923</v>
      </c>
      <c r="L6" s="438">
        <f ca="1">IFERROR(INDEX('Phase I Pro Forma'!$D$22:$R$22,1,MATCH('Official Summary'!L3,'Phase I Pro Forma'!$D$2:$R$2)),0)+IFERROR(INDEX('Phase II Pro Forma'!$D$22:$R$22,1,MATCH('Official Summary'!L3,'Phase II Pro Forma'!$D$2:$R$2)),0)+IFERROR(INDEX('Phase III Pro Forma'!$D$22:$R$22,1,MATCH('Official Summary'!L3,'Phase III Pro Forma'!$D$2:$R$2)),0)</f>
        <v>10349098.190847702</v>
      </c>
      <c r="M6" s="438"/>
      <c r="N6" s="356">
        <f ca="1">IFERROR(INDEX('Phase I Pro Forma'!$D$22:$R$22,1,MATCH('Official Summary'!N3,'Phase I Pro Forma'!$D$2:$R$2)),0)+IFERROR(INDEX('Phase II Pro Forma'!$D$22:$R$22,1,MATCH('Official Summary'!N3,'Phase II Pro Forma'!$D$2:$R$2)),0)+IFERROR(INDEX('Phase III Pro Forma'!$D$22:$R$22,1,MATCH('Official Summary'!N3,'Phase III Pro Forma'!$D$2:$R$2)),0)</f>
        <v>10504334.663710415</v>
      </c>
    </row>
    <row r="7" spans="1:14">
      <c r="A7" s="453" t="s">
        <v>8</v>
      </c>
      <c r="B7" s="453"/>
      <c r="C7" s="352"/>
      <c r="D7" s="356">
        <f ca="1">IFERROR(INDEX('Phase I Pro Forma'!$D$66:$R$66,1,MATCH('Official Summary'!D3,'Phase I Pro Forma'!$D$2:$R$2)),0)+IFERROR(INDEX('Phase II Pro Forma'!$D$66:$R$66,1,MATCH('Official Summary'!D3,'Phase II Pro Forma'!$D$2:$R$2)),0)+IFERROR(INDEX('Phase III Pro Forma'!$D$66:$R$66,1,MATCH('Official Summary'!D3,'Phase III Pro Forma'!$D$2:$R$2)),0)</f>
        <v>0</v>
      </c>
      <c r="E7" s="356">
        <f ca="1">IFERROR(INDEX('Phase I Pro Forma'!$D$66:$R$66,1,MATCH('Official Summary'!E3,'Phase I Pro Forma'!$D$2:$R$2)),0)+IFERROR(INDEX('Phase II Pro Forma'!$D$66:$R$66,1,MATCH('Official Summary'!E3,'Phase II Pro Forma'!$D$2:$R$2)),0)+IFERROR(INDEX('Phase III Pro Forma'!$D$66:$R$66,1,MATCH('Official Summary'!E3,'Phase III Pro Forma'!$D$2:$R$2)),0)</f>
        <v>0</v>
      </c>
      <c r="F7" s="356">
        <f ca="1">IFERROR(INDEX('Phase I Pro Forma'!$D$66:$R$66,1,MATCH('Official Summary'!F3,'Phase I Pro Forma'!$D$2:$R$2)),0)+IFERROR(INDEX('Phase II Pro Forma'!$D$66:$R$66,1,MATCH('Official Summary'!F3,'Phase II Pro Forma'!$D$2:$R$2)),0)+IFERROR(INDEX('Phase III Pro Forma'!$D$66:$R$66,1,MATCH('Official Summary'!F3,'Phase III Pro Forma'!$D$2:$R$2)),0)</f>
        <v>3938062.2033422445</v>
      </c>
      <c r="G7" s="356">
        <f ca="1">IFERROR(INDEX('Phase I Pro Forma'!$D$66:$R$66,1,MATCH('Official Summary'!G3,'Phase I Pro Forma'!$D$2:$R$2)),0)+IFERROR(INDEX('Phase II Pro Forma'!$D$66:$R$66,1,MATCH('Official Summary'!G3,'Phase II Pro Forma'!$D$2:$R$2)),0)+IFERROR(INDEX('Phase III Pro Forma'!$D$66:$R$66,1,MATCH('Official Summary'!G3,'Phase III Pro Forma'!$D$2:$R$2)),0)</f>
        <v>8138661.8869073056</v>
      </c>
      <c r="H7" s="356">
        <f ca="1">IFERROR(INDEX('Phase I Pro Forma'!$D$66:$R$66,1,MATCH('Official Summary'!H3,'Phase I Pro Forma'!$D$2:$R$2)),0)+IFERROR(INDEX('Phase II Pro Forma'!$D$66:$R$66,1,MATCH('Official Summary'!H3,'Phase II Pro Forma'!$D$2:$R$2)),0)+IFERROR(INDEX('Phase III Pro Forma'!$D$66:$R$66,1,MATCH('Official Summary'!H3,'Phase III Pro Forma'!$D$2:$R$2)),0)</f>
        <v>13257013.18846526</v>
      </c>
      <c r="I7" s="356">
        <f ca="1">IFERROR(INDEX('Phase I Pro Forma'!$D$66:$R$66,1,MATCH('Official Summary'!I3,'Phase I Pro Forma'!$D$2:$R$2)),0)+IFERROR(INDEX('Phase II Pro Forma'!$D$66:$R$66,1,MATCH('Official Summary'!I3,'Phase II Pro Forma'!$D$2:$R$2)),0)+IFERROR(INDEX('Phase III Pro Forma'!$D$66:$R$66,1,MATCH('Official Summary'!I3,'Phase III Pro Forma'!$D$2:$R$2)),0)</f>
        <v>13698913.62808077</v>
      </c>
      <c r="J7" s="356">
        <f ca="1">IFERROR(INDEX('Phase I Pro Forma'!$D$66:$R$66,1,MATCH('Official Summary'!J3,'Phase I Pro Forma'!$D$2:$R$2)),0)+IFERROR(INDEX('Phase II Pro Forma'!$D$66:$R$66,1,MATCH('Official Summary'!J3,'Phase II Pro Forma'!$D$2:$R$2)),0)+IFERROR(INDEX('Phase III Pro Forma'!$D$66:$R$66,1,MATCH('Official Summary'!J3,'Phase III Pro Forma'!$D$2:$R$2)),0)</f>
        <v>17981524.472400896</v>
      </c>
      <c r="K7" s="356">
        <f ca="1">IFERROR(INDEX('Phase I Pro Forma'!$D$66:$R$66,1,MATCH('Official Summary'!K3,'Phase I Pro Forma'!$D$2:$R$2)),0)+IFERROR(INDEX('Phase II Pro Forma'!$D$66:$R$66,1,MATCH('Official Summary'!K3,'Phase II Pro Forma'!$D$2:$R$2)),0)+IFERROR(INDEX('Phase III Pro Forma'!$D$66:$R$66,1,MATCH('Official Summary'!K3,'Phase III Pro Forma'!$D$2:$R$2)),0)</f>
        <v>18580908.621480927</v>
      </c>
      <c r="L7" s="438">
        <f ca="1">IFERROR(INDEX('Phase I Pro Forma'!$D$66:$R$66,1,MATCH('Official Summary'!L3,'Phase I Pro Forma'!$D$2:$R$2)),0)+IFERROR(INDEX('Phase II Pro Forma'!$D$66:$R$66,1,MATCH('Official Summary'!L3,'Phase II Pro Forma'!$D$2:$R$2)),0)+IFERROR(INDEX('Phase III Pro Forma'!$D$66:$R$66,1,MATCH('Official Summary'!L3,'Phase III Pro Forma'!$D$2:$R$2)),0)</f>
        <v>19200272.242196962</v>
      </c>
      <c r="M7" s="438"/>
      <c r="N7" s="356">
        <f ca="1">IFERROR(INDEX('Phase I Pro Forma'!$D$66:$R$66,1,MATCH('Official Summary'!N3,'Phase I Pro Forma'!$D$2:$R$2)),0)+IFERROR(INDEX('Phase II Pro Forma'!$D$66:$R$66,1,MATCH('Official Summary'!N3,'Phase II Pro Forma'!$D$2:$R$2)),0)+IFERROR(INDEX('Phase III Pro Forma'!$D$66:$R$66,1,MATCH('Official Summary'!N3,'Phase III Pro Forma'!$D$2:$R$2)),0)</f>
        <v>19840281.316936862</v>
      </c>
    </row>
    <row r="8" spans="1:14">
      <c r="A8" s="453" t="s">
        <v>9</v>
      </c>
      <c r="B8" s="453"/>
      <c r="C8" s="352"/>
      <c r="D8" s="356">
        <f>IFERROR(INDEX('Phase I Pro Forma'!$D$87:$R$87,1,MATCH('Official Summary'!D3,'Phase I Pro Forma'!$D$2:$R$2)),0)+IFERROR(INDEX('Phase II Pro Forma'!$D$87:$R$87,1,MATCH('Official Summary'!D3,'Phase II Pro Forma'!$D$2:$R$2)),0)+IFERROR(INDEX('Phase III Pro Forma'!$D$87:$R$87,1,MATCH('Official Summary'!D3,'Phase III Pro Forma'!$D$2:$R$2)),0)</f>
        <v>0</v>
      </c>
      <c r="E8" s="356">
        <f>IFERROR(INDEX('Phase I Pro Forma'!$D$87:$R$87,1,MATCH('Official Summary'!E3,'Phase I Pro Forma'!$D$2:$R$2)),0)+IFERROR(INDEX('Phase II Pro Forma'!$D$87:$R$87,1,MATCH('Official Summary'!E3,'Phase II Pro Forma'!$D$2:$R$2)),0)+IFERROR(INDEX('Phase III Pro Forma'!$D$87:$R$87,1,MATCH('Official Summary'!E3,'Phase III Pro Forma'!$D$2:$R$2)),0)</f>
        <v>0</v>
      </c>
      <c r="F8" s="356">
        <f>IFERROR(INDEX('Phase I Pro Forma'!$D$87:$R$87,1,MATCH('Official Summary'!F3,'Phase I Pro Forma'!$D$2:$R$2)),0)+IFERROR(INDEX('Phase II Pro Forma'!$D$87:$R$87,1,MATCH('Official Summary'!F3,'Phase II Pro Forma'!$D$2:$R$2)),0)+IFERROR(INDEX('Phase III Pro Forma'!$D$87:$R$87,1,MATCH('Official Summary'!F3,'Phase III Pro Forma'!$D$2:$R$2)),0)</f>
        <v>630730.63851851854</v>
      </c>
      <c r="G8" s="356">
        <f>IFERROR(INDEX('Phase I Pro Forma'!$D$87:$R$87,1,MATCH('Official Summary'!G3,'Phase I Pro Forma'!$D$2:$R$2)),0)+IFERROR(INDEX('Phase II Pro Forma'!$D$87:$R$87,1,MATCH('Official Summary'!G3,'Phase II Pro Forma'!$D$2:$R$2)),0)+IFERROR(INDEX('Phase III Pro Forma'!$D$87:$R$87,1,MATCH('Official Summary'!G3,'Phase III Pro Forma'!$D$2:$R$2)),0)</f>
        <v>651754.99313580256</v>
      </c>
      <c r="H8" s="356">
        <f>IFERROR(INDEX('Phase I Pro Forma'!$D$87:$R$87,1,MATCH('Official Summary'!H3,'Phase I Pro Forma'!$D$2:$R$2)),0)+IFERROR(INDEX('Phase II Pro Forma'!$D$87:$R$87,1,MATCH('Official Summary'!H3,'Phase II Pro Forma'!$D$2:$R$2)),0)+IFERROR(INDEX('Phase III Pro Forma'!$D$87:$R$87,1,MATCH('Official Summary'!H3,'Phase III Pro Forma'!$D$2:$R$2)),0)</f>
        <v>1346960.3191473256</v>
      </c>
      <c r="I8" s="356">
        <f>IFERROR(INDEX('Phase I Pro Forma'!$D$87:$R$87,1,MATCH('Official Summary'!I3,'Phase I Pro Forma'!$D$2:$R$2)),0)+IFERROR(INDEX('Phase II Pro Forma'!$D$87:$R$87,1,MATCH('Official Summary'!I3,'Phase II Pro Forma'!$D$2:$R$2)),0)+IFERROR(INDEX('Phase III Pro Forma'!$D$87:$R$87,1,MATCH('Official Summary'!I3,'Phase III Pro Forma'!$D$2:$R$2)),0)</f>
        <v>2087788.4946783546</v>
      </c>
      <c r="J8" s="356">
        <f>IFERROR(INDEX('Phase I Pro Forma'!$D$87:$R$87,1,MATCH('Official Summary'!J3,'Phase I Pro Forma'!$D$2:$R$2)),0)+IFERROR(INDEX('Phase II Pro Forma'!$D$87:$R$87,1,MATCH('Official Summary'!J3,'Phase II Pro Forma'!$D$2:$R$2)),0)+IFERROR(INDEX('Phase III Pro Forma'!$D$87:$R$87,1,MATCH('Official Summary'!J3,'Phase III Pro Forma'!$D$2:$R$2)),0)</f>
        <v>2876508.5926679559</v>
      </c>
      <c r="K8" s="356">
        <f>IFERROR(INDEX('Phase I Pro Forma'!$D$87:$R$87,1,MATCH('Official Summary'!K3,'Phase I Pro Forma'!$D$2:$R$2)),0)+IFERROR(INDEX('Phase II Pro Forma'!$D$87:$R$87,1,MATCH('Official Summary'!K3,'Phase II Pro Forma'!$D$2:$R$2)),0)+IFERROR(INDEX('Phase III Pro Forma'!$D$87:$R$87,1,MATCH('Official Summary'!K3,'Phase III Pro Forma'!$D$2:$R$2)),0)</f>
        <v>2972392.2124235542</v>
      </c>
      <c r="L8" s="438">
        <f>IFERROR(INDEX('Phase I Pro Forma'!$D$87:$R$87,1,MATCH('Official Summary'!L3,'Phase I Pro Forma'!$D$2:$R$2)),0)+IFERROR(INDEX('Phase II Pro Forma'!$D$87:$R$87,1,MATCH('Official Summary'!L3,'Phase II Pro Forma'!$D$2:$R$2)),0)+IFERROR(INDEX('Phase III Pro Forma'!$D$87:$R$87,1,MATCH('Official Summary'!L3,'Phase III Pro Forma'!$D$2:$R$2)),0)</f>
        <v>3071471.952837673</v>
      </c>
      <c r="M8" s="438"/>
      <c r="N8" s="356">
        <f>IFERROR(INDEX('Phase I Pro Forma'!$D$87:$R$87,1,MATCH('Official Summary'!N3,'Phase I Pro Forma'!$D$2:$R$2)),0)+IFERROR(INDEX('Phase II Pro Forma'!$D$87:$R$87,1,MATCH('Official Summary'!N3,'Phase II Pro Forma'!$D$2:$R$2)),0)+IFERROR(INDEX('Phase III Pro Forma'!$D$87:$R$87,1,MATCH('Official Summary'!N3,'Phase III Pro Forma'!$D$2:$R$2)),0)</f>
        <v>3173854.3512655967</v>
      </c>
    </row>
    <row r="9" spans="1:14">
      <c r="A9" s="453" t="s">
        <v>10</v>
      </c>
      <c r="B9" s="453"/>
      <c r="C9" s="352"/>
      <c r="D9" s="356">
        <f ca="1">IFERROR(INDEX('Phase I Pro Forma'!$D$110:$R$110,1,MATCH('Official Summary'!D3,'Phase I Pro Forma'!$D$2:$R$2)),0)+IFERROR(INDEX('Phase II Pro Forma'!$D$110:$R$110,1,MATCH('Official Summary'!D3,'Phase II Pro Forma'!$D$2:$R$2)),0)+IFERROR(INDEX('Phase III Pro Forma'!$D$110:$R$110,1,MATCH('Official Summary'!D3,'Phase III Pro Forma'!$D$2:$R$2)),0)</f>
        <v>0</v>
      </c>
      <c r="E9" s="356">
        <f ca="1">IFERROR(INDEX('Phase I Pro Forma'!$D$110:$R$110,1,MATCH('Official Summary'!E3,'Phase I Pro Forma'!$D$2:$R$2)),0)+IFERROR(INDEX('Phase II Pro Forma'!$D$110:$R$110,1,MATCH('Official Summary'!E3,'Phase II Pro Forma'!$D$2:$R$2)),0)+IFERROR(INDEX('Phase III Pro Forma'!$D$110:$R$110,1,MATCH('Official Summary'!E3,'Phase III Pro Forma'!$D$2:$R$2)),0)</f>
        <v>0</v>
      </c>
      <c r="F9" s="356">
        <f ca="1">IFERROR(INDEX('Phase I Pro Forma'!$D$110:$R$110,1,MATCH('Official Summary'!F3,'Phase I Pro Forma'!$D$2:$R$2)),0)+IFERROR(INDEX('Phase II Pro Forma'!$D$110:$R$110,1,MATCH('Official Summary'!F3,'Phase II Pro Forma'!$D$2:$R$2)),0)+IFERROR(INDEX('Phase III Pro Forma'!$D$110:$R$110,1,MATCH('Official Summary'!F3,'Phase III Pro Forma'!$D$2:$R$2)),0)</f>
        <v>530414.38554324699</v>
      </c>
      <c r="G9" s="356">
        <f ca="1">IFERROR(INDEX('Phase I Pro Forma'!$D$110:$R$110,1,MATCH('Official Summary'!G3,'Phase I Pro Forma'!$D$2:$R$2)),0)+IFERROR(INDEX('Phase II Pro Forma'!$D$110:$R$110,1,MATCH('Official Summary'!G3,'Phase II Pro Forma'!$D$2:$R$2)),0)+IFERROR(INDEX('Phase III Pro Forma'!$D$110:$R$110,1,MATCH('Official Summary'!G3,'Phase III Pro Forma'!$D$2:$R$2)),0)</f>
        <v>548094.86506135494</v>
      </c>
      <c r="H9" s="356">
        <f ca="1">IFERROR(INDEX('Phase I Pro Forma'!$D$110:$R$110,1,MATCH('Official Summary'!H3,'Phase I Pro Forma'!$D$2:$R$2)),0)+IFERROR(INDEX('Phase II Pro Forma'!$D$110:$R$110,1,MATCH('Official Summary'!H3,'Phase II Pro Forma'!$D$2:$R$2)),0)+IFERROR(INDEX('Phase III Pro Forma'!$D$110:$R$110,1,MATCH('Official Summary'!H3,'Phase III Pro Forma'!$D$2:$R$2)),0)</f>
        <v>1410439.6263309794</v>
      </c>
      <c r="I9" s="356">
        <f ca="1">IFERROR(INDEX('Phase I Pro Forma'!$D$110:$R$110,1,MATCH('Official Summary'!I3,'Phase I Pro Forma'!$D$2:$R$2)),0)+IFERROR(INDEX('Phase II Pro Forma'!$D$110:$R$110,1,MATCH('Official Summary'!I3,'Phase II Pro Forma'!$D$2:$R$2)),0)+IFERROR(INDEX('Phase III Pro Forma'!$D$110:$R$110,1,MATCH('Official Summary'!I3,'Phase III Pro Forma'!$D$2:$R$2)),0)</f>
        <v>1457454.2805420118</v>
      </c>
      <c r="J9" s="356">
        <f ca="1">IFERROR(INDEX('Phase I Pro Forma'!$D$110:$R$110,1,MATCH('Official Summary'!J3,'Phase I Pro Forma'!$D$2:$R$2)),0)+IFERROR(INDEX('Phase II Pro Forma'!$D$110:$R$110,1,MATCH('Official Summary'!J3,'Phase II Pro Forma'!$D$2:$R$2)),0)+IFERROR(INDEX('Phase III Pro Forma'!$D$110:$R$110,1,MATCH('Official Summary'!J3,'Phase III Pro Forma'!$D$2:$R$2)),0)</f>
        <v>1506036.0898934123</v>
      </c>
      <c r="K9" s="356">
        <f ca="1">IFERROR(INDEX('Phase I Pro Forma'!$D$110:$R$110,1,MATCH('Official Summary'!K3,'Phase I Pro Forma'!$D$2:$R$2)),0)+IFERROR(INDEX('Phase II Pro Forma'!$D$110:$R$110,1,MATCH('Official Summary'!K3,'Phase II Pro Forma'!$D$2:$R$2)),0)+IFERROR(INDEX('Phase III Pro Forma'!$D$110:$R$110,1,MATCH('Official Summary'!K3,'Phase III Pro Forma'!$D$2:$R$2)),0)</f>
        <v>1556237.2928898595</v>
      </c>
      <c r="L9" s="438">
        <f ca="1">IFERROR(INDEX('Phase I Pro Forma'!$D$110:$R$110,1,MATCH('Official Summary'!L3,'Phase I Pro Forma'!$D$2:$R$2)),0)+IFERROR(INDEX('Phase II Pro Forma'!$D$110:$R$110,1,MATCH('Official Summary'!L3,'Phase II Pro Forma'!$D$2:$R$2)),0)+IFERROR(INDEX('Phase III Pro Forma'!$D$110:$R$110,1,MATCH('Official Summary'!L3,'Phase III Pro Forma'!$D$2:$R$2)),0)</f>
        <v>1608111.8693195221</v>
      </c>
      <c r="M9" s="438"/>
      <c r="N9" s="356">
        <f ca="1">IFERROR(INDEX('Phase I Pro Forma'!$D$110:$R$110,1,MATCH('Official Summary'!N3,'Phase I Pro Forma'!$D$2:$R$2)),0)+IFERROR(INDEX('Phase II Pro Forma'!$D$110:$R$110,1,MATCH('Official Summary'!N3,'Phase II Pro Forma'!$D$2:$R$2)),0)+IFERROR(INDEX('Phase III Pro Forma'!$D$110:$R$110,1,MATCH('Official Summary'!N3,'Phase III Pro Forma'!$D$2:$R$2)),0)</f>
        <v>1661715.5982968397</v>
      </c>
    </row>
    <row r="10" spans="1:14">
      <c r="A10" s="355"/>
      <c r="B10" s="355" t="s">
        <v>11</v>
      </c>
      <c r="C10" s="352"/>
      <c r="D10" s="356">
        <f ca="1">(SUMIF('Phase I Pro Forma'!$D$90:$R$90,'Official Summary'!D$3,'Phase I Pro Forma'!$D$147:$R$147)+SUMIF('Phase II Pro Forma'!$D$90:$R$90,'Official Summary'!D$3,'Phase II Pro Forma'!$D$147:$R$147)+SUMIF('Phase III Pro Forma'!$D$90:$R$90,'Official Summary'!D$3,'Phase III Pro Forma'!$D$147:$R$147))</f>
        <v>-3468155.0134373284</v>
      </c>
      <c r="E10" s="356">
        <f ca="1">(SUMIF('Phase I Pro Forma'!$D$90:$R$90,'Official Summary'!E$3,'Phase I Pro Forma'!$D$147:$R$147)+SUMIF('Phase II Pro Forma'!$D$90:$R$90,'Official Summary'!E$3,'Phase II Pro Forma'!$D$147:$R$147)+SUMIF('Phase III Pro Forma'!$D$90:$R$90,'Official Summary'!E$3,'Phase III Pro Forma'!$D$147:$R$147))</f>
        <v>-3468155.0134373284</v>
      </c>
      <c r="F10" s="356">
        <f ca="1">(SUMIF('Phase I Pro Forma'!$D$90:$R$90,'Official Summary'!F$3,'Phase I Pro Forma'!$D$147:$R$147)+SUMIF('Phase II Pro Forma'!$D$90:$R$90,'Official Summary'!F$3,'Phase II Pro Forma'!$D$147:$R$147)+SUMIF('Phase III Pro Forma'!$D$90:$R$90,'Official Summary'!F$3,'Phase III Pro Forma'!$D$147:$R$147))</f>
        <v>-7757712.7076081801</v>
      </c>
      <c r="G10" s="356">
        <f ca="1">(SUMIF('Phase I Pro Forma'!$D$90:$R$90,'Official Summary'!G$3,'Phase I Pro Forma'!$D$147:$R$147)+SUMIF('Phase II Pro Forma'!$D$90:$R$90,'Official Summary'!G$3,'Phase II Pro Forma'!$D$147:$R$147)+SUMIF('Phase III Pro Forma'!$D$90:$R$90,'Official Summary'!G$3,'Phase III Pro Forma'!$D$147:$R$147))</f>
        <v>-4289557.6941708513</v>
      </c>
      <c r="H10" s="356">
        <f ca="1">(SUMIF('Phase I Pro Forma'!$D$90:$R$90,'Official Summary'!H$3,'Phase I Pro Forma'!$D$147:$R$147)+SUMIF('Phase II Pro Forma'!$D$90:$R$90,'Official Summary'!H$3,'Phase II Pro Forma'!$D$147:$R$147)+SUMIF('Phase III Pro Forma'!$D$90:$R$90,'Official Summary'!H$3,'Phase III Pro Forma'!$D$147:$R$147))</f>
        <v>-7038685.969270302</v>
      </c>
      <c r="I10" s="356">
        <f ca="1">(SUMIF('Phase I Pro Forma'!$D$90:$R$90,'Official Summary'!I$3,'Phase I Pro Forma'!$D$147:$R$147)+SUMIF('Phase II Pro Forma'!$D$90:$R$90,'Official Summary'!I$3,'Phase II Pro Forma'!$D$147:$R$147)+SUMIF('Phase III Pro Forma'!$D$90:$R$90,'Official Summary'!I$3,'Phase III Pro Forma'!$D$147:$R$147))</f>
        <v>-2749128.2750994512</v>
      </c>
      <c r="J10" s="356">
        <f ca="1">(SUMIF('Phase I Pro Forma'!$D$90:$R$90,'Official Summary'!J$3,'Phase I Pro Forma'!$D$147:$R$147)+SUMIF('Phase II Pro Forma'!$D$90:$R$90,'Official Summary'!J$3,'Phase II Pro Forma'!$D$147:$R$147)+SUMIF('Phase III Pro Forma'!$D$90:$R$90,'Official Summary'!J$3,'Phase III Pro Forma'!$D$147:$R$147))</f>
        <v>-2749128.2750994512</v>
      </c>
      <c r="K10" s="356">
        <f>(SUMIF('Phase I Pro Forma'!$D$90:$R$90,'Official Summary'!K$3,'Phase I Pro Forma'!$D$147:$R$147)+SUMIF('Phase II Pro Forma'!$D$90:$R$90,'Official Summary'!K$3,'Phase II Pro Forma'!$D$147:$R$147)+SUMIF('Phase III Pro Forma'!$D$90:$R$90,'Official Summary'!K$3,'Phase III Pro Forma'!$D$147:$R$147))</f>
        <v>0</v>
      </c>
      <c r="L10" s="356">
        <f>(SUMIF('Phase I Pro Forma'!$D$90:$R$90,'Official Summary'!L$3,'Phase I Pro Forma'!$D$147:$R$147)+SUMIF('Phase II Pro Forma'!$D$90:$R$90,'Official Summary'!L$3,'Phase II Pro Forma'!$D$147:$R$147)+SUMIF('Phase III Pro Forma'!$D$90:$R$90,'Official Summary'!L$3,'Phase III Pro Forma'!$D$147:$R$147))</f>
        <v>0</v>
      </c>
      <c r="M10" s="356">
        <f>(SUMIF('Phase I Pro Forma'!$D$90:$R$90,'Official Summary'!M$3,'Phase I Pro Forma'!$D$147:$R$147)+SUMIF('Phase II Pro Forma'!$D$90:$R$90,'Official Summary'!M$3,'Phase II Pro Forma'!$D$147:$R$147)+SUMIF('Phase III Pro Forma'!$D$90:$R$90,'Official Summary'!M$3,'Phase III Pro Forma'!$D$147:$R$147))</f>
        <v>0</v>
      </c>
      <c r="N10" s="356">
        <f>(SUMIF('Phase I Pro Forma'!$D$90:$R$90,'Official Summary'!N$3,'Phase I Pro Forma'!$D$147:$R$147)+SUMIF('Phase II Pro Forma'!$D$90:$R$90,'Official Summary'!N$3,'Phase II Pro Forma'!$D$147:$R$147)+SUMIF('Phase III Pro Forma'!$D$90:$R$90,'Official Summary'!N$3,'Phase III Pro Forma'!$D$147:$R$147))</f>
        <v>0</v>
      </c>
    </row>
    <row r="11" spans="1:14">
      <c r="A11" s="453" t="s">
        <v>12</v>
      </c>
      <c r="B11" s="453"/>
      <c r="C11" s="352"/>
      <c r="D11" s="357"/>
      <c r="E11" s="357"/>
      <c r="F11" s="357"/>
      <c r="G11" s="357"/>
      <c r="H11" s="357"/>
      <c r="I11" s="357"/>
      <c r="J11" s="357"/>
      <c r="K11" s="357"/>
      <c r="L11" s="357"/>
      <c r="M11" s="357"/>
      <c r="N11" s="357"/>
    </row>
    <row r="12" spans="1:14">
      <c r="B12" s="353" t="s">
        <v>13</v>
      </c>
      <c r="C12" s="352"/>
      <c r="D12" s="356">
        <f ca="1">SUM(D5:D11)</f>
        <v>-3468155.0134373284</v>
      </c>
      <c r="E12" s="356">
        <f t="shared" ref="E12:L12" ca="1" si="1">SUM(E5:E11)</f>
        <v>-3468155.0134373284</v>
      </c>
      <c r="F12" s="356">
        <f t="shared" ca="1" si="1"/>
        <v>5946240.0743228365</v>
      </c>
      <c r="G12" s="356">
        <f t="shared" ca="1" si="1"/>
        <v>13865674.708767343</v>
      </c>
      <c r="H12" s="356">
        <f t="shared" ca="1" si="1"/>
        <v>27923045.384422131</v>
      </c>
      <c r="I12" s="356">
        <f t="shared" ca="1" si="1"/>
        <v>39941885.110520788</v>
      </c>
      <c r="J12" s="356">
        <f t="shared" ca="1" si="1"/>
        <v>56097990.787149154</v>
      </c>
      <c r="K12" s="356">
        <f t="shared" ca="1" si="1"/>
        <v>60536397.425096512</v>
      </c>
      <c r="L12" s="438">
        <f t="shared" ca="1" si="1"/>
        <v>62276578.80380962</v>
      </c>
      <c r="M12" s="438"/>
      <c r="N12" s="356">
        <f ca="1">SUM(N5:N11)</f>
        <v>64069239.215275705</v>
      </c>
    </row>
    <row r="13" spans="1:14" ht="17.100000000000001" thickBot="1">
      <c r="B13" s="353" t="s">
        <v>14</v>
      </c>
      <c r="C13" s="352"/>
      <c r="D13" s="356">
        <f>IFERROR(INDEX('Phase I Pro Forma'!$D$136:$R$136,1,MATCH('Official Summary'!D3,'Phase I Pro Forma'!$D$2:$R$2)),0)+IFERROR(INDEX('Phase II Pro Forma'!$D$136:$R$136,1,MATCH('Official Summary'!D3,'Phase II Pro Forma'!$D$2:$R$2)),0)+IFERROR(INDEX('Phase III Pro Forma'!$D$136:$R$136,1,MATCH('Official Summary'!D3,'Phase III Pro Forma'!$D$2:$R$2)),0)</f>
        <v>0</v>
      </c>
      <c r="E13" s="356">
        <f>IFERROR(INDEX('Phase I Pro Forma'!$D$136:$R$136,1,MATCH('Official Summary'!E3,'Phase I Pro Forma'!$D$2:$R$2)),0)+IFERROR(INDEX('Phase II Pro Forma'!$D$136:$R$136,1,MATCH('Official Summary'!E3,'Phase II Pro Forma'!$D$2:$R$2)),0)+IFERROR(INDEX('Phase III Pro Forma'!$D$136:$R$136,1,MATCH('Official Summary'!E3,'Phase III Pro Forma'!$D$2:$R$2)),0)</f>
        <v>0</v>
      </c>
      <c r="F13" s="356">
        <f>IFERROR(INDEX('Phase I Pro Forma'!$D$136:$R$136,1,MATCH('Official Summary'!F3,'Phase I Pro Forma'!$D$2:$R$2)),0)+IFERROR(INDEX('Phase II Pro Forma'!$D$136:$R$136,1,MATCH('Official Summary'!F3,'Phase II Pro Forma'!$D$2:$R$2)),0)+IFERROR(INDEX('Phase III Pro Forma'!$D$136:$R$136,1,MATCH('Official Summary'!F3,'Phase III Pro Forma'!$D$2:$R$2)),0)</f>
        <v>0</v>
      </c>
      <c r="G13" s="356">
        <f>IFERROR(INDEX('Phase I Pro Forma'!$D$136:$R$136,1,MATCH('Official Summary'!G3,'Phase I Pro Forma'!$D$2:$R$2)),0)+IFERROR(INDEX('Phase II Pro Forma'!$D$136:$R$136,1,MATCH('Official Summary'!G3,'Phase II Pro Forma'!$D$2:$R$2)),0)+IFERROR(INDEX('Phase III Pro Forma'!$D$136:$R$136,1,MATCH('Official Summary'!G3,'Phase III Pro Forma'!$D$2:$R$2)),0)</f>
        <v>0</v>
      </c>
      <c r="H13" s="356">
        <f>IFERROR(INDEX('Phase I Pro Forma'!$D$136:$R$136,1,MATCH('Official Summary'!H3,'Phase I Pro Forma'!$D$2:$R$2)),0)+IFERROR(INDEX('Phase II Pro Forma'!$D$136:$R$136,1,MATCH('Official Summary'!H3,'Phase II Pro Forma'!$D$2:$R$2)),0)+IFERROR(INDEX('Phase III Pro Forma'!$D$136:$R$136,1,MATCH('Official Summary'!H3,'Phase III Pro Forma'!$D$2:$R$2)),0)</f>
        <v>0</v>
      </c>
      <c r="I13" s="356">
        <f ca="1">IFERROR(INDEX('Phase I Pro Forma'!$D$136:$R$136,1,MATCH('Official Summary'!I3,'Phase I Pro Forma'!$D$2:$R$2)),0)+IFERROR(INDEX('Phase II Pro Forma'!$D$136:$R$136,1,MATCH('Official Summary'!I3,'Phase II Pro Forma'!$D$2:$R$2)),0)+IFERROR(INDEX('Phase III Pro Forma'!$D$136:$R$136,1,MATCH('Official Summary'!I3,'Phase III Pro Forma'!$D$2:$R$2)),0)</f>
        <v>380605739.27335519</v>
      </c>
      <c r="J13" s="356">
        <f>IFERROR(INDEX('Phase I Pro Forma'!$D$136:$R$136,1,MATCH('Official Summary'!J3,'Phase I Pro Forma'!$D$2:$R$2)),0)+IFERROR(INDEX('Phase II Pro Forma'!$D$136:$R$136,1,MATCH('Official Summary'!J3,'Phase II Pro Forma'!$D$2:$R$2)),0)+IFERROR(INDEX('Phase III Pro Forma'!$D$136:$R$136,1,MATCH('Official Summary'!J3,'Phase III Pro Forma'!$D$2:$R$2)),0)</f>
        <v>0</v>
      </c>
      <c r="K13" s="356">
        <f ca="1">IFERROR(INDEX('Phase I Pro Forma'!$D$136:$R$136,1,MATCH('Official Summary'!K3,'Phase I Pro Forma'!$D$2:$R$2)),0)+IFERROR(INDEX('Phase II Pro Forma'!$D$136:$R$136,1,MATCH('Official Summary'!K3,'Phase II Pro Forma'!$D$2:$R$2)),0)+IFERROR(INDEX('Phase III Pro Forma'!$D$136:$R$136,1,MATCH('Official Summary'!K3,'Phase III Pro Forma'!$D$2:$R$2)),0)</f>
        <v>523957301.78272265</v>
      </c>
      <c r="L13" s="438">
        <f ca="1">IFERROR(INDEX('Phase I Pro Forma'!$D$136:$R$136,1,MATCH('Official Summary'!L3,'Phase I Pro Forma'!$D$2:$R$2)),0)+IFERROR(INDEX('Phase II Pro Forma'!$D$136:$R$136,1,MATCH('Official Summary'!L3,'Phase II Pro Forma'!$D$2:$R$2)),0)+IFERROR(INDEX('Phase III Pro Forma'!$D$136:$R$136,1,MATCH('Official Summary'!L3,'Phase III Pro Forma'!$D$2:$R$2)),0)</f>
        <v>336797162.03666198</v>
      </c>
      <c r="M13" s="438"/>
      <c r="N13" s="356">
        <f>IFERROR(INDEX('Phase I Pro Forma'!$D$136:$R$136,1,MATCH('Official Summary'!N3,'Phase I Pro Forma'!$D$2:$R$2)),0)+IFERROR(INDEX('Phase II Pro Forma'!$D$136:$R$136,1,MATCH('Official Summary'!N3,'Phase II Pro Forma'!$D$2:$R$2)),0)+IFERROR(INDEX('Phase III Pro Forma'!$D$136:$R$136,1,MATCH('Official Summary'!N3,'Phase III Pro Forma'!$D$2:$R$2)),0)</f>
        <v>0</v>
      </c>
    </row>
    <row r="14" spans="1:14" ht="17.100000000000001" thickBot="1">
      <c r="A14" s="358"/>
      <c r="B14" s="369" t="s">
        <v>15</v>
      </c>
      <c r="C14" s="372"/>
      <c r="D14" s="370">
        <f ca="1">SUM(D12:D13)</f>
        <v>-3468155.0134373284</v>
      </c>
      <c r="E14" s="370">
        <f t="shared" ref="E14:N14" ca="1" si="2">SUM(E12:E13)</f>
        <v>-3468155.0134373284</v>
      </c>
      <c r="F14" s="370">
        <f t="shared" ca="1" si="2"/>
        <v>5946240.0743228365</v>
      </c>
      <c r="G14" s="370">
        <f t="shared" ca="1" si="2"/>
        <v>13865674.708767343</v>
      </c>
      <c r="H14" s="370">
        <f t="shared" ca="1" si="2"/>
        <v>27923045.384422131</v>
      </c>
      <c r="I14" s="370">
        <f t="shared" ca="1" si="2"/>
        <v>420547624.38387597</v>
      </c>
      <c r="J14" s="370">
        <f t="shared" ca="1" si="2"/>
        <v>56097990.787149154</v>
      </c>
      <c r="K14" s="370">
        <f t="shared" ca="1" si="2"/>
        <v>584493699.20781922</v>
      </c>
      <c r="L14" s="469">
        <f t="shared" ca="1" si="2"/>
        <v>399073740.84047163</v>
      </c>
      <c r="M14" s="469"/>
      <c r="N14" s="371">
        <f t="shared" ca="1" si="2"/>
        <v>64069239.215275705</v>
      </c>
    </row>
    <row r="15" spans="1:14">
      <c r="A15" s="358"/>
      <c r="B15" s="358"/>
      <c r="C15" s="352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</row>
    <row r="16" spans="1:14">
      <c r="B16" s="404" t="s">
        <v>16</v>
      </c>
      <c r="C16" s="407"/>
      <c r="D16" s="408"/>
      <c r="E16" s="408"/>
      <c r="F16" s="408"/>
      <c r="G16" s="408"/>
      <c r="H16" s="408"/>
      <c r="I16" s="408"/>
      <c r="J16" s="408"/>
      <c r="K16" s="408"/>
      <c r="L16" s="408"/>
      <c r="M16" s="408"/>
      <c r="N16" s="408"/>
    </row>
    <row r="17" spans="1:14">
      <c r="A17" s="353"/>
      <c r="B17" s="353" t="s">
        <v>17</v>
      </c>
      <c r="C17" s="351"/>
      <c r="D17" s="350"/>
      <c r="E17" s="350"/>
      <c r="F17" s="350"/>
      <c r="G17" s="350"/>
      <c r="H17" s="350"/>
      <c r="I17" s="350"/>
      <c r="J17" s="350"/>
      <c r="K17" s="350"/>
      <c r="L17" s="350"/>
      <c r="M17" s="350"/>
      <c r="N17" s="350"/>
    </row>
    <row r="18" spans="1:14">
      <c r="A18" s="354"/>
      <c r="B18" s="355" t="s">
        <v>6</v>
      </c>
      <c r="C18" s="352"/>
      <c r="D18" s="356">
        <f ca="1">(SUMIF('Phase I Pro Forma'!$D$90:$R$90,'Official Summary'!D$3,'Phase I Pro Forma'!$D$143:$R$143)+SUMIF('Phase II Pro Forma'!$D$90:$R$90,'Official Summary'!D$3,'Phase II Pro Forma'!$D$143:$R$143)+SUMIF('Phase III Pro Forma'!$D$90:$R$90,'Official Summary'!D$3,'Phase III Pro Forma'!$D$143:$R$143))*(SUM(Budget!$L$22:$L$32)/(Budget!$H$33))</f>
        <v>-37866511.171355441</v>
      </c>
      <c r="E18" s="356">
        <f ca="1">(SUMIF('Phase I Pro Forma'!$D$90:$R$90,'Official Summary'!E$3,'Phase I Pro Forma'!$D$143:$R$143)+SUMIF('Phase II Pro Forma'!$D$90:$R$90,'Official Summary'!E$3,'Phase II Pro Forma'!$D$143:$R$143)+SUMIF('Phase III Pro Forma'!$D$90:$R$90,'Official Summary'!E$3,'Phase III Pro Forma'!$D$143:$R$143))*(SUM(Budget!$L$22:$L$32)/(Budget!$H$33))</f>
        <v>-37866511.171355441</v>
      </c>
      <c r="F18" s="356">
        <f ca="1">(SUMIF('Phase I Pro Forma'!$D$90:$R$90,'Official Summary'!F$3,'Phase I Pro Forma'!$D$143:$R$143)+SUMIF('Phase II Pro Forma'!$D$90:$R$90,'Official Summary'!F$3,'Phase II Pro Forma'!$D$143:$R$143)+SUMIF('Phase III Pro Forma'!$D$90:$R$90,'Official Summary'!F$3,'Phase III Pro Forma'!$D$143:$R$143))*(SUM(Budget!$L$22:$L$32)/(Budget!$H$33))</f>
        <v>-86488545.676507264</v>
      </c>
      <c r="G18" s="356">
        <f ca="1">(SUMIF('Phase I Pro Forma'!$D$90:$R$90,'Official Summary'!G$3,'Phase I Pro Forma'!$D$143:$R$143)+SUMIF('Phase II Pro Forma'!$D$90:$R$90,'Official Summary'!G$3,'Phase II Pro Forma'!$D$143:$R$143)+SUMIF('Phase III Pro Forma'!$D$90:$R$90,'Official Summary'!G$3,'Phase III Pro Forma'!$D$143:$R$143))*(SUM(Budget!$L$22:$L$32)/(Budget!$H$33))</f>
        <v>-48622034.505151808</v>
      </c>
      <c r="H18" s="356">
        <f ca="1">(SUMIF('Phase I Pro Forma'!$D$90:$R$90,'Official Summary'!H$3,'Phase I Pro Forma'!$D$143:$R$143)+SUMIF('Phase II Pro Forma'!$D$90:$R$90,'Official Summary'!H$3,'Phase II Pro Forma'!$D$143:$R$143)+SUMIF('Phase III Pro Forma'!$D$90:$R$90,'Official Summary'!H$3,'Phase III Pro Forma'!$D$143:$R$143))*(SUM(Budget!$L$22:$L$32)/(Budget!$H$33))</f>
        <v>-80249671.670672029</v>
      </c>
      <c r="I18" s="356">
        <f ca="1">(SUMIF('Phase I Pro Forma'!$D$90:$R$90,'Official Summary'!I$3,'Phase I Pro Forma'!$D$143:$R$143)+SUMIF('Phase II Pro Forma'!$D$90:$R$90,'Official Summary'!I$3,'Phase II Pro Forma'!$D$143:$R$143)+SUMIF('Phase III Pro Forma'!$D$90:$R$90,'Official Summary'!I$3,'Phase III Pro Forma'!$D$143:$R$143))*(SUM(Budget!$L$22:$L$32)/(Budget!$H$33))</f>
        <v>-31627637.165520217</v>
      </c>
      <c r="J18" s="356">
        <f ca="1">(SUMIF('Phase I Pro Forma'!$D$90:$R$90,'Official Summary'!J$3,'Phase I Pro Forma'!$D$143:$R$143)+SUMIF('Phase II Pro Forma'!$D$90:$R$90,'Official Summary'!J$3,'Phase II Pro Forma'!$D$143:$R$143)+SUMIF('Phase III Pro Forma'!$D$90:$R$90,'Official Summary'!J$3,'Phase III Pro Forma'!$D$143:$R$143))*(SUM(Budget!$L$22:$L$32)/(Budget!$H$33))</f>
        <v>-31627637.165520217</v>
      </c>
      <c r="K18" s="356">
        <f ca="1">(SUMIF('Phase I Pro Forma'!$D$90:$R$90,'Official Summary'!K$3,'Phase I Pro Forma'!$D$143:$R$143)+SUMIF('Phase II Pro Forma'!$D$90:$R$90,'Official Summary'!K$3,'Phase II Pro Forma'!$D$143:$R$143)+SUMIF('Phase III Pro Forma'!$D$90:$R$90,'Official Summary'!K$3,'Phase III Pro Forma'!$D$143:$R$143))*(SUM(Budget!$L$22:$L$32)/(Budget!$H$33))</f>
        <v>0</v>
      </c>
      <c r="L18" s="356">
        <f ca="1">(SUMIF('Phase I Pro Forma'!$D$90:$R$90,'Official Summary'!L$3,'Phase I Pro Forma'!$D$143:$R$143)+SUMIF('Phase II Pro Forma'!$D$90:$R$90,'Official Summary'!L$3,'Phase II Pro Forma'!$D$143:$R$143)+SUMIF('Phase III Pro Forma'!$D$90:$R$90,'Official Summary'!L$3,'Phase III Pro Forma'!$D$143:$R$143))*(SUM(Budget!$L$22:$L$32)/(Budget!$H$33))</f>
        <v>0</v>
      </c>
      <c r="M18" s="356">
        <f ca="1">(SUMIF('Phase I Pro Forma'!$D$90:$R$90,'Official Summary'!M$3,'Phase I Pro Forma'!$D$143:$R$143)+SUMIF('Phase II Pro Forma'!$D$90:$R$90,'Official Summary'!M$3,'Phase II Pro Forma'!$D$143:$R$143)+SUMIF('Phase III Pro Forma'!$D$90:$R$90,'Official Summary'!M$3,'Phase III Pro Forma'!$D$143:$R$143))*(SUM(Budget!$L$22:$L$32)/(Budget!$H$33))</f>
        <v>0</v>
      </c>
      <c r="N18" s="356">
        <f ca="1">(SUMIF('Phase I Pro Forma'!$D$90:$R$90,'Official Summary'!N$3,'Phase I Pro Forma'!$D$143:$R$143)+SUMIF('Phase II Pro Forma'!$D$90:$R$90,'Official Summary'!N$3,'Phase II Pro Forma'!$D$143:$R$143)+SUMIF('Phase III Pro Forma'!$D$90:$R$90,'Official Summary'!N$3,'Phase III Pro Forma'!$D$143:$R$143))*(SUM(Budget!$L$22:$L$32)/(Budget!$H$33))</f>
        <v>0</v>
      </c>
    </row>
    <row r="19" spans="1:14">
      <c r="A19" s="354"/>
      <c r="B19" s="355" t="s">
        <v>7</v>
      </c>
      <c r="C19" s="352"/>
      <c r="D19" s="356">
        <f ca="1">(SUMIF('Phase I Pro Forma'!$D$90:$R$90,'Official Summary'!D$3,'Phase I Pro Forma'!$D$143:$R$143)+SUMIF('Phase II Pro Forma'!$D$90:$R$90,'Official Summary'!D$3,'Phase II Pro Forma'!$D$143:$R$143)+SUMIF('Phase III Pro Forma'!$D$90:$R$90,'Official Summary'!D$3,'Phase III Pro Forma'!$D$143:$R$143))*(SUM(Budget!$K$22:$K$32)/(Budget!$H$33))</f>
        <v>-15039430.437724929</v>
      </c>
      <c r="E19" s="356">
        <f ca="1">(SUMIF('Phase I Pro Forma'!$D$90:$R$90,'Official Summary'!E$3,'Phase I Pro Forma'!$D$143:$R$143)+SUMIF('Phase II Pro Forma'!$D$90:$R$90,'Official Summary'!E$3,'Phase II Pro Forma'!$D$143:$R$143)+SUMIF('Phase III Pro Forma'!$D$90:$R$90,'Official Summary'!E$3,'Phase III Pro Forma'!$D$143:$R$143))*(SUM(Budget!$K$22:$K$32)/(Budget!$H$33))</f>
        <v>-15039430.437724929</v>
      </c>
      <c r="F19" s="356">
        <f ca="1">(SUMIF('Phase I Pro Forma'!$D$90:$R$90,'Official Summary'!F$3,'Phase I Pro Forma'!$D$143:$R$143)+SUMIF('Phase II Pro Forma'!$D$90:$R$90,'Official Summary'!F$3,'Phase II Pro Forma'!$D$143:$R$143)+SUMIF('Phase III Pro Forma'!$D$90:$R$90,'Official Summary'!F$3,'Phase III Pro Forma'!$D$143:$R$143))*(SUM(Budget!$K$22:$K$32)/(Budget!$H$33))</f>
        <v>-34350628.725093231</v>
      </c>
      <c r="G19" s="356">
        <f ca="1">(SUMIF('Phase I Pro Forma'!$D$90:$R$90,'Official Summary'!G$3,'Phase I Pro Forma'!$D$143:$R$143)+SUMIF('Phase II Pro Forma'!$D$90:$R$90,'Official Summary'!G$3,'Phase II Pro Forma'!$D$143:$R$143)+SUMIF('Phase III Pro Forma'!$D$90:$R$90,'Official Summary'!G$3,'Phase III Pro Forma'!$D$143:$R$143))*(SUM(Budget!$K$22:$K$32)/(Budget!$H$33))</f>
        <v>-19311198.287368301</v>
      </c>
      <c r="H19" s="356">
        <f ca="1">(SUMIF('Phase I Pro Forma'!$D$90:$R$90,'Official Summary'!H$3,'Phase I Pro Forma'!$D$143:$R$143)+SUMIF('Phase II Pro Forma'!$D$90:$R$90,'Official Summary'!H$3,'Phase II Pro Forma'!$D$143:$R$143)+SUMIF('Phase III Pro Forma'!$D$90:$R$90,'Official Summary'!H$3,'Phase III Pro Forma'!$D$143:$R$143))*(SUM(Budget!$K$22:$K$32)/(Budget!$H$33))</f>
        <v>-31872737.081052173</v>
      </c>
      <c r="I19" s="356">
        <f ca="1">(SUMIF('Phase I Pro Forma'!$D$90:$R$90,'Official Summary'!I$3,'Phase I Pro Forma'!$D$143:$R$143)+SUMIF('Phase II Pro Forma'!$D$90:$R$90,'Official Summary'!I$3,'Phase II Pro Forma'!$D$143:$R$143)+SUMIF('Phase III Pro Forma'!$D$90:$R$90,'Official Summary'!I$3,'Phase III Pro Forma'!$D$143:$R$143))*(SUM(Budget!$K$22:$K$32)/(Budget!$H$33))</f>
        <v>-12561538.793683868</v>
      </c>
      <c r="J19" s="356">
        <f ca="1">(SUMIF('Phase I Pro Forma'!$D$90:$R$90,'Official Summary'!J$3,'Phase I Pro Forma'!$D$143:$R$143)+SUMIF('Phase II Pro Forma'!$D$90:$R$90,'Official Summary'!J$3,'Phase II Pro Forma'!$D$143:$R$143)+SUMIF('Phase III Pro Forma'!$D$90:$R$90,'Official Summary'!J$3,'Phase III Pro Forma'!$D$143:$R$143))*(SUM(Budget!$K$22:$K$32)/(Budget!$H$33))</f>
        <v>-12561538.793683868</v>
      </c>
      <c r="K19" s="356">
        <f ca="1">(SUMIF('Phase I Pro Forma'!$D$90:$R$90,'Official Summary'!K$3,'Phase I Pro Forma'!$D$143:$R$143)+SUMIF('Phase II Pro Forma'!$D$90:$R$90,'Official Summary'!K$3,'Phase II Pro Forma'!$D$143:$R$143)+SUMIF('Phase III Pro Forma'!$D$90:$R$90,'Official Summary'!K$3,'Phase III Pro Forma'!$D$143:$R$143))*(SUM(Budget!$K$22:$K$32)/(Budget!$H$33))</f>
        <v>0</v>
      </c>
      <c r="L19" s="356">
        <f ca="1">(SUMIF('Phase I Pro Forma'!$D$90:$R$90,'Official Summary'!L$3,'Phase I Pro Forma'!$D$143:$R$143)+SUMIF('Phase II Pro Forma'!$D$90:$R$90,'Official Summary'!L$3,'Phase II Pro Forma'!$D$143:$R$143)+SUMIF('Phase III Pro Forma'!$D$90:$R$90,'Official Summary'!L$3,'Phase III Pro Forma'!$D$143:$R$143))*(SUM(Budget!$K$22:$K$32)/(Budget!$H$33))</f>
        <v>0</v>
      </c>
      <c r="M19" s="356">
        <f ca="1">(SUMIF('Phase I Pro Forma'!$D$90:$R$90,'Official Summary'!M$3,'Phase I Pro Forma'!$D$143:$R$143)+SUMIF('Phase II Pro Forma'!$D$90:$R$90,'Official Summary'!M$3,'Phase II Pro Forma'!$D$143:$R$143)+SUMIF('Phase III Pro Forma'!$D$90:$R$90,'Official Summary'!M$3,'Phase III Pro Forma'!$D$143:$R$143))*(SUM(Budget!$K$22:$K$32)/(Budget!$H$33))</f>
        <v>0</v>
      </c>
      <c r="N19" s="356">
        <f ca="1">(SUMIF('Phase I Pro Forma'!$D$90:$R$90,'Official Summary'!N$3,'Phase I Pro Forma'!$D$143:$R$143)+SUMIF('Phase II Pro Forma'!$D$90:$R$90,'Official Summary'!N$3,'Phase II Pro Forma'!$D$143:$R$143)+SUMIF('Phase III Pro Forma'!$D$90:$R$90,'Official Summary'!N$3,'Phase III Pro Forma'!$D$143:$R$143))*(SUM(Budget!$K$22:$K$32)/(Budget!$H$33))</f>
        <v>0</v>
      </c>
    </row>
    <row r="20" spans="1:14">
      <c r="A20" s="453" t="s">
        <v>8</v>
      </c>
      <c r="B20" s="453"/>
      <c r="C20" s="352"/>
      <c r="D20" s="356">
        <f ca="1">(SUMIF('Phase I Pro Forma'!$D$90:$R$90,'Official Summary'!D$3,'Phase I Pro Forma'!$D$143:$R$143)+SUMIF('Phase II Pro Forma'!$D$90:$R$90,'Official Summary'!D$3,'Phase II Pro Forma'!$D$143:$R$143)+SUMIF('Phase III Pro Forma'!$D$90:$R$90,'Official Summary'!D$3,'Phase III Pro Forma'!$D$143:$R$143))*(SUM(Budget!$M$22:$M$32)/(Budget!$H$33))</f>
        <v>-22148814.053786505</v>
      </c>
      <c r="E20" s="356">
        <f ca="1">(SUMIF('Phase I Pro Forma'!$D$90:$R$90,'Official Summary'!E$3,'Phase I Pro Forma'!$D$143:$R$143)+SUMIF('Phase II Pro Forma'!$D$90:$R$90,'Official Summary'!E$3,'Phase II Pro Forma'!$D$143:$R$143)+SUMIF('Phase III Pro Forma'!$D$90:$R$90,'Official Summary'!E$3,'Phase III Pro Forma'!$D$143:$R$143))*(SUM(Budget!$M$22:$M$32)/(Budget!$H$33))</f>
        <v>-22148814.053786505</v>
      </c>
      <c r="F20" s="356">
        <f ca="1">(SUMIF('Phase I Pro Forma'!$D$90:$R$90,'Official Summary'!F$3,'Phase I Pro Forma'!$D$143:$R$143)+SUMIF('Phase II Pro Forma'!$D$90:$R$90,'Official Summary'!F$3,'Phase II Pro Forma'!$D$143:$R$143)+SUMIF('Phase III Pro Forma'!$D$90:$R$90,'Official Summary'!F$3,'Phase III Pro Forma'!$D$143:$R$143))*(SUM(Budget!$M$22:$M$32)/(Budget!$H$33))</f>
        <v>-50588730.16589053</v>
      </c>
      <c r="G20" s="356">
        <f ca="1">(SUMIF('Phase I Pro Forma'!$D$90:$R$90,'Official Summary'!G$3,'Phase I Pro Forma'!$D$143:$R$143)+SUMIF('Phase II Pro Forma'!$D$90:$R$90,'Official Summary'!G$3,'Phase II Pro Forma'!$D$143:$R$143)+SUMIF('Phase III Pro Forma'!$D$90:$R$90,'Official Summary'!G$3,'Phase III Pro Forma'!$D$143:$R$143))*(SUM(Budget!$M$22:$M$32)/(Budget!$H$33))</f>
        <v>-28439916.112104025</v>
      </c>
      <c r="H20" s="356">
        <f ca="1">(SUMIF('Phase I Pro Forma'!$D$90:$R$90,'Official Summary'!H$3,'Phase I Pro Forma'!$D$143:$R$143)+SUMIF('Phase II Pro Forma'!$D$90:$R$90,'Official Summary'!H$3,'Phase II Pro Forma'!$D$143:$R$143)+SUMIF('Phase III Pro Forma'!$D$90:$R$90,'Official Summary'!H$3,'Phase III Pro Forma'!$D$143:$R$143))*(SUM(Budget!$M$22:$M$32)/(Budget!$H$33))</f>
        <v>-46939498.800610252</v>
      </c>
      <c r="I20" s="356">
        <f ca="1">(SUMIF('Phase I Pro Forma'!$D$90:$R$90,'Official Summary'!I$3,'Phase I Pro Forma'!$D$143:$R$143)+SUMIF('Phase II Pro Forma'!$D$90:$R$90,'Official Summary'!I$3,'Phase II Pro Forma'!$D$143:$R$143)+SUMIF('Phase III Pro Forma'!$D$90:$R$90,'Official Summary'!I$3,'Phase III Pro Forma'!$D$143:$R$143))*(SUM(Budget!$M$22:$M$32)/(Budget!$H$33))</f>
        <v>-18499582.68850622</v>
      </c>
      <c r="J20" s="356">
        <f ca="1">(SUMIF('Phase I Pro Forma'!$D$90:$R$90,'Official Summary'!J$3,'Phase I Pro Forma'!$D$143:$R$143)+SUMIF('Phase II Pro Forma'!$D$90:$R$90,'Official Summary'!J$3,'Phase II Pro Forma'!$D$143:$R$143)+SUMIF('Phase III Pro Forma'!$D$90:$R$90,'Official Summary'!J$3,'Phase III Pro Forma'!$D$143:$R$143))*(SUM(Budget!$M$22:$M$32)/(Budget!$H$33))</f>
        <v>-18499582.68850622</v>
      </c>
      <c r="K20" s="356">
        <f ca="1">(SUMIF('Phase I Pro Forma'!$D$90:$R$90,'Official Summary'!K$3,'Phase I Pro Forma'!$D$143:$R$143)+SUMIF('Phase II Pro Forma'!$D$90:$R$90,'Official Summary'!K$3,'Phase II Pro Forma'!$D$143:$R$143)+SUMIF('Phase III Pro Forma'!$D$90:$R$90,'Official Summary'!K$3,'Phase III Pro Forma'!$D$143:$R$143))*(SUM(Budget!$M$22:$M$32)/(Budget!$H$33))</f>
        <v>0</v>
      </c>
      <c r="L20" s="356">
        <f ca="1">(SUMIF('Phase I Pro Forma'!$D$90:$R$90,'Official Summary'!L$3,'Phase I Pro Forma'!$D$143:$R$143)+SUMIF('Phase II Pro Forma'!$D$90:$R$90,'Official Summary'!L$3,'Phase II Pro Forma'!$D$143:$R$143)+SUMIF('Phase III Pro Forma'!$D$90:$R$90,'Official Summary'!L$3,'Phase III Pro Forma'!$D$143:$R$143))*(SUM(Budget!$M$22:$M$32)/(Budget!$H$33))</f>
        <v>0</v>
      </c>
      <c r="M20" s="356">
        <f ca="1">(SUMIF('Phase I Pro Forma'!$D$90:$R$90,'Official Summary'!M$3,'Phase I Pro Forma'!$D$143:$R$143)+SUMIF('Phase II Pro Forma'!$D$90:$R$90,'Official Summary'!M$3,'Phase II Pro Forma'!$D$143:$R$143)+SUMIF('Phase III Pro Forma'!$D$90:$R$90,'Official Summary'!M$3,'Phase III Pro Forma'!$D$143:$R$143))*(SUM(Budget!$M$22:$M$32)/(Budget!$H$33))</f>
        <v>0</v>
      </c>
      <c r="N20" s="356">
        <f ca="1">(SUMIF('Phase I Pro Forma'!$D$90:$R$90,'Official Summary'!N$3,'Phase I Pro Forma'!$D$143:$R$143)+SUMIF('Phase II Pro Forma'!$D$90:$R$90,'Official Summary'!N$3,'Phase II Pro Forma'!$D$143:$R$143)+SUMIF('Phase III Pro Forma'!$D$90:$R$90,'Official Summary'!N$3,'Phase III Pro Forma'!$D$143:$R$143))*(SUM(Budget!$M$22:$M$32)/(Budget!$H$33))</f>
        <v>0</v>
      </c>
    </row>
    <row r="21" spans="1:14">
      <c r="A21" s="453" t="s">
        <v>18</v>
      </c>
      <c r="B21" s="453"/>
      <c r="C21" s="352"/>
      <c r="D21" s="356">
        <f ca="1">(SUMIF('Phase I Pro Forma'!$D$90:$R$90,'Official Summary'!D$3,'Phase I Pro Forma'!$D$143:$R$143)+SUMIF('Phase II Pro Forma'!$D$90:$R$90,'Official Summary'!D$3,'Phase II Pro Forma'!$D$143:$R$143)+SUMIF('Phase III Pro Forma'!$D$90:$R$90,'Official Summary'!D$3,'Phase III Pro Forma'!$D$143:$R$143))*(SUM(Budget!$N$22:$N$32)/(Budget!$H$33))</f>
        <v>-4621174.9143122854</v>
      </c>
      <c r="E21" s="356">
        <f ca="1">(SUMIF('Phase I Pro Forma'!$D$90:$R$90,'Official Summary'!E$3,'Phase I Pro Forma'!$D$143:$R$143)+SUMIF('Phase II Pro Forma'!$D$90:$R$90,'Official Summary'!E$3,'Phase II Pro Forma'!$D$143:$R$143)+SUMIF('Phase III Pro Forma'!$D$90:$R$90,'Official Summary'!E$3,'Phase III Pro Forma'!$D$143:$R$143))*(SUM(Budget!$N$22:$N$32)/(Budget!$H$33))</f>
        <v>-4621174.9143122854</v>
      </c>
      <c r="F21" s="356">
        <f ca="1">(SUMIF('Phase I Pro Forma'!$D$90:$R$90,'Official Summary'!F$3,'Phase I Pro Forma'!$D$143:$R$143)+SUMIF('Phase II Pro Forma'!$D$90:$R$90,'Official Summary'!F$3,'Phase II Pro Forma'!$D$143:$R$143)+SUMIF('Phase III Pro Forma'!$D$90:$R$90,'Official Summary'!F$3,'Phase III Pro Forma'!$D$143:$R$143))*(SUM(Budget!$N$22:$N$32)/(Budget!$H$33))</f>
        <v>-10554938.527264405</v>
      </c>
      <c r="G21" s="356">
        <f ca="1">(SUMIF('Phase I Pro Forma'!$D$90:$R$90,'Official Summary'!G$3,'Phase I Pro Forma'!$D$143:$R$143)+SUMIF('Phase II Pro Forma'!$D$90:$R$90,'Official Summary'!G$3,'Phase II Pro Forma'!$D$143:$R$143)+SUMIF('Phase III Pro Forma'!$D$90:$R$90,'Official Summary'!G$3,'Phase III Pro Forma'!$D$143:$R$143))*(SUM(Budget!$N$22:$N$32)/(Budget!$H$33))</f>
        <v>-5933763.6129521197</v>
      </c>
      <c r="H21" s="356">
        <f ca="1">(SUMIF('Phase I Pro Forma'!$D$90:$R$90,'Official Summary'!H$3,'Phase I Pro Forma'!$D$143:$R$143)+SUMIF('Phase II Pro Forma'!$D$90:$R$90,'Official Summary'!H$3,'Phase II Pro Forma'!$D$143:$R$143)+SUMIF('Phase III Pro Forma'!$D$90:$R$90,'Official Summary'!H$3,'Phase III Pro Forma'!$D$143:$R$143))*(SUM(Budget!$N$22:$N$32)/(Budget!$H$33))</f>
        <v>-9793555.2585800104</v>
      </c>
      <c r="I21" s="356">
        <f ca="1">(SUMIF('Phase I Pro Forma'!$D$90:$R$90,'Official Summary'!I$3,'Phase I Pro Forma'!$D$143:$R$143)+SUMIF('Phase II Pro Forma'!$D$90:$R$90,'Official Summary'!I$3,'Phase II Pro Forma'!$D$143:$R$143)+SUMIF('Phase III Pro Forma'!$D$90:$R$90,'Official Summary'!I$3,'Phase III Pro Forma'!$D$143:$R$143))*(SUM(Budget!$N$22:$N$32)/(Budget!$H$33))</f>
        <v>-3859791.6456278907</v>
      </c>
      <c r="J21" s="356">
        <f ca="1">(SUMIF('Phase I Pro Forma'!$D$90:$R$90,'Official Summary'!J$3,'Phase I Pro Forma'!$D$143:$R$143)+SUMIF('Phase II Pro Forma'!$D$90:$R$90,'Official Summary'!J$3,'Phase II Pro Forma'!$D$143:$R$143)+SUMIF('Phase III Pro Forma'!$D$90:$R$90,'Official Summary'!J$3,'Phase III Pro Forma'!$D$143:$R$143))*(SUM(Budget!$N$22:$N$32)/(Budget!$H$33))</f>
        <v>-3859791.6456278907</v>
      </c>
      <c r="K21" s="356">
        <f ca="1">(SUMIF('Phase I Pro Forma'!$D$90:$R$90,'Official Summary'!K$3,'Phase I Pro Forma'!$D$143:$R$143)+SUMIF('Phase II Pro Forma'!$D$90:$R$90,'Official Summary'!K$3,'Phase II Pro Forma'!$D$143:$R$143)+SUMIF('Phase III Pro Forma'!$D$90:$R$90,'Official Summary'!K$3,'Phase III Pro Forma'!$D$143:$R$143))*(SUM(Budget!$N$22:$N$32)/(Budget!$H$33))</f>
        <v>0</v>
      </c>
      <c r="L21" s="356">
        <f ca="1">(SUMIF('Phase I Pro Forma'!$D$90:$R$90,'Official Summary'!L$3,'Phase I Pro Forma'!$D$143:$R$143)+SUMIF('Phase II Pro Forma'!$D$90:$R$90,'Official Summary'!L$3,'Phase II Pro Forma'!$D$143:$R$143)+SUMIF('Phase III Pro Forma'!$D$90:$R$90,'Official Summary'!L$3,'Phase III Pro Forma'!$D$143:$R$143))*(SUM(Budget!$N$22:$N$32)/(Budget!$H$33))</f>
        <v>0</v>
      </c>
      <c r="M21" s="356">
        <f ca="1">(SUMIF('Phase I Pro Forma'!$D$90:$R$90,'Official Summary'!M$3,'Phase I Pro Forma'!$D$143:$R$143)+SUMIF('Phase II Pro Forma'!$D$90:$R$90,'Official Summary'!M$3,'Phase II Pro Forma'!$D$143:$R$143)+SUMIF('Phase III Pro Forma'!$D$90:$R$90,'Official Summary'!M$3,'Phase III Pro Forma'!$D$143:$R$143))*(SUM(Budget!$N$22:$N$32)/(Budget!$H$33))</f>
        <v>0</v>
      </c>
      <c r="N21" s="356">
        <f ca="1">(SUMIF('Phase I Pro Forma'!$D$90:$R$90,'Official Summary'!N$3,'Phase I Pro Forma'!$D$143:$R$143)+SUMIF('Phase II Pro Forma'!$D$90:$R$90,'Official Summary'!N$3,'Phase II Pro Forma'!$D$143:$R$143)+SUMIF('Phase III Pro Forma'!$D$90:$R$90,'Official Summary'!N$3,'Phase III Pro Forma'!$D$143:$R$143))*(SUM(Budget!$N$22:$N$32)/(Budget!$H$33))</f>
        <v>0</v>
      </c>
    </row>
    <row r="22" spans="1:14">
      <c r="A22" s="453" t="s">
        <v>10</v>
      </c>
      <c r="B22" s="453"/>
      <c r="C22" s="352"/>
      <c r="D22" s="356">
        <f ca="1">(SUMIF('Phase I Pro Forma'!$D$90:$R$90,'Official Summary'!D$3,'Phase I Pro Forma'!$D$143:$R$143)+SUMIF('Phase II Pro Forma'!$D$90:$R$90,'Official Summary'!D$3,'Phase II Pro Forma'!$D$143:$R$143)+SUMIF('Phase III Pro Forma'!$D$90:$R$90,'Official Summary'!D$3,'Phase III Pro Forma'!$D$143:$R$143))*(SUM(Budget!$O$22:$O$32)/(Budget!$H$33))</f>
        <v>-5513635.0755940406</v>
      </c>
      <c r="E22" s="356">
        <f ca="1">(SUMIF('Phase I Pro Forma'!$D$90:$R$90,'Official Summary'!E$3,'Phase I Pro Forma'!$D$143:$R$143)+SUMIF('Phase II Pro Forma'!$D$90:$R$90,'Official Summary'!E$3,'Phase II Pro Forma'!$D$143:$R$143)+SUMIF('Phase III Pro Forma'!$D$90:$R$90,'Official Summary'!E$3,'Phase III Pro Forma'!$D$143:$R$143))*(SUM(Budget!$O$22:$O$32)/(Budget!$H$33))</f>
        <v>-5513635.0755940406</v>
      </c>
      <c r="F22" s="356">
        <f ca="1">(SUMIF('Phase I Pro Forma'!$D$90:$R$90,'Official Summary'!F$3,'Phase I Pro Forma'!$D$143:$R$143)+SUMIF('Phase II Pro Forma'!$D$90:$R$90,'Official Summary'!F$3,'Phase II Pro Forma'!$D$143:$R$143)+SUMIF('Phase III Pro Forma'!$D$90:$R$90,'Official Summary'!F$3,'Phase III Pro Forma'!$D$143:$R$143))*(SUM(Budget!$O$22:$O$32)/(Budget!$H$33))</f>
        <v>-12593351.336783269</v>
      </c>
      <c r="G22" s="356">
        <f ca="1">(SUMIF('Phase I Pro Forma'!$D$90:$R$90,'Official Summary'!G$3,'Phase I Pro Forma'!$D$143:$R$143)+SUMIF('Phase II Pro Forma'!$D$90:$R$90,'Official Summary'!G$3,'Phase II Pro Forma'!$D$143:$R$143)+SUMIF('Phase III Pro Forma'!$D$90:$R$90,'Official Summary'!G$3,'Phase III Pro Forma'!$D$143:$R$143))*(SUM(Budget!$O$22:$O$32)/(Budget!$H$33))</f>
        <v>-7079716.2611892289</v>
      </c>
      <c r="H22" s="356">
        <f ca="1">(SUMIF('Phase I Pro Forma'!$D$90:$R$90,'Official Summary'!H$3,'Phase I Pro Forma'!$D$143:$R$143)+SUMIF('Phase II Pro Forma'!$D$90:$R$90,'Official Summary'!H$3,'Phase II Pro Forma'!$D$143:$R$143)+SUMIF('Phase III Pro Forma'!$D$90:$R$90,'Official Summary'!H$3,'Phase III Pro Forma'!$D$143:$R$143))*(SUM(Budget!$O$22:$O$32)/(Budget!$H$33))</f>
        <v>-11684926.623581637</v>
      </c>
      <c r="I22" s="356">
        <f ca="1">(SUMIF('Phase I Pro Forma'!$D$90:$R$90,'Official Summary'!I$3,'Phase I Pro Forma'!$D$143:$R$143)+SUMIF('Phase II Pro Forma'!$D$90:$R$90,'Official Summary'!I$3,'Phase II Pro Forma'!$D$143:$R$143)+SUMIF('Phase III Pro Forma'!$D$90:$R$90,'Official Summary'!I$3,'Phase III Pro Forma'!$D$143:$R$143))*(SUM(Budget!$O$22:$O$32)/(Budget!$H$33))</f>
        <v>-4605210.3623924078</v>
      </c>
      <c r="J22" s="356">
        <f ca="1">(SUMIF('Phase I Pro Forma'!$D$90:$R$90,'Official Summary'!J$3,'Phase I Pro Forma'!$D$143:$R$143)+SUMIF('Phase II Pro Forma'!$D$90:$R$90,'Official Summary'!J$3,'Phase II Pro Forma'!$D$143:$R$143)+SUMIF('Phase III Pro Forma'!$D$90:$R$90,'Official Summary'!J$3,'Phase III Pro Forma'!$D$143:$R$143))*(SUM(Budget!$O$22:$O$32)/(Budget!$H$33))</f>
        <v>-4605210.3623924078</v>
      </c>
      <c r="K22" s="356">
        <f ca="1">(SUMIF('Phase I Pro Forma'!$D$90:$R$90,'Official Summary'!K$3,'Phase I Pro Forma'!$D$143:$R$143)+SUMIF('Phase II Pro Forma'!$D$90:$R$90,'Official Summary'!K$3,'Phase II Pro Forma'!$D$143:$R$143)+SUMIF('Phase III Pro Forma'!$D$90:$R$90,'Official Summary'!K$3,'Phase III Pro Forma'!$D$143:$R$143))*(SUM(Budget!$O$22:$O$32)/(Budget!$H$33))</f>
        <v>0</v>
      </c>
      <c r="L22" s="356">
        <f ca="1">(SUMIF('Phase I Pro Forma'!$D$90:$R$90,'Official Summary'!L$3,'Phase I Pro Forma'!$D$143:$R$143)+SUMIF('Phase II Pro Forma'!$D$90:$R$90,'Official Summary'!L$3,'Phase II Pro Forma'!$D$143:$R$143)+SUMIF('Phase III Pro Forma'!$D$90:$R$90,'Official Summary'!L$3,'Phase III Pro Forma'!$D$143:$R$143))*(SUM(Budget!$O$22:$O$32)/(Budget!$H$33))</f>
        <v>0</v>
      </c>
      <c r="M22" s="356">
        <f ca="1">(SUMIF('Phase I Pro Forma'!$D$90:$R$90,'Official Summary'!M$3,'Phase I Pro Forma'!$D$143:$R$143)+SUMIF('Phase II Pro Forma'!$D$90:$R$90,'Official Summary'!M$3,'Phase II Pro Forma'!$D$143:$R$143)+SUMIF('Phase III Pro Forma'!$D$90:$R$90,'Official Summary'!M$3,'Phase III Pro Forma'!$D$143:$R$143))*(SUM(Budget!$O$22:$O$32)/(Budget!$H$33))</f>
        <v>0</v>
      </c>
      <c r="N22" s="356">
        <f ca="1">(SUMIF('Phase I Pro Forma'!$D$90:$R$90,'Official Summary'!N$3,'Phase I Pro Forma'!$D$143:$R$143)+SUMIF('Phase II Pro Forma'!$D$90:$R$90,'Official Summary'!N$3,'Phase II Pro Forma'!$D$143:$R$143)+SUMIF('Phase III Pro Forma'!$D$90:$R$90,'Official Summary'!N$3,'Phase III Pro Forma'!$D$143:$R$143))*(SUM(Budget!$O$22:$O$32)/(Budget!$H$33))</f>
        <v>0</v>
      </c>
    </row>
    <row r="23" spans="1:14">
      <c r="B23" s="353" t="s">
        <v>19</v>
      </c>
      <c r="C23" s="352"/>
      <c r="D23" s="356">
        <f ca="1">(SUMIF('Phase I Pro Forma'!$D$90:$R$90,'Official Summary'!D$3,'Phase I Pro Forma'!$D$144:$R$144)+SUMIF('Phase II Pro Forma'!$D$90:$R$90,'Official Summary'!D$3,'Phase II Pro Forma'!$D$144:$R$144)+SUMIF('Phase III Pro Forma'!$D$90:$R$90,'Official Summary'!D$3,'Phase III Pro Forma'!$D$144:$R$144))</f>
        <v>-23098811.200693298</v>
      </c>
      <c r="E23" s="356">
        <f ca="1">(SUMIF('Phase I Pro Forma'!$D$90:$R$90,'Official Summary'!E$3,'Phase I Pro Forma'!$D$144:$R$144)+SUMIF('Phase II Pro Forma'!$D$90:$R$90,'Official Summary'!E$3,'Phase II Pro Forma'!$D$144:$R$144)+SUMIF('Phase III Pro Forma'!$D$90:$R$90,'Official Summary'!E$3,'Phase III Pro Forma'!$D$144:$R$144))</f>
        <v>-23098811.200693298</v>
      </c>
      <c r="F23" s="356">
        <f ca="1">(SUMIF('Phase I Pro Forma'!$D$90:$R$90,'Official Summary'!F$3,'Phase I Pro Forma'!$D$144:$R$144)+SUMIF('Phase II Pro Forma'!$D$90:$R$90,'Official Summary'!F$3,'Phase II Pro Forma'!$D$144:$R$144)+SUMIF('Phase III Pro Forma'!$D$90:$R$90,'Official Summary'!F$3,'Phase III Pro Forma'!$D$144:$R$144))</f>
        <v>-51673640.272943415</v>
      </c>
      <c r="G23" s="356">
        <f ca="1">(SUMIF('Phase I Pro Forma'!$D$90:$R$90,'Official Summary'!G$3,'Phase I Pro Forma'!$D$144:$R$144)+SUMIF('Phase II Pro Forma'!$D$90:$R$90,'Official Summary'!G$3,'Phase II Pro Forma'!$D$144:$R$144)+SUMIF('Phase III Pro Forma'!$D$90:$R$90,'Official Summary'!G$3,'Phase III Pro Forma'!$D$144:$R$144))</f>
        <v>-28574829.072250117</v>
      </c>
      <c r="H23" s="356">
        <f ca="1">(SUMIF('Phase I Pro Forma'!$D$90:$R$90,'Official Summary'!H$3,'Phase I Pro Forma'!$D$144:$R$144)+SUMIF('Phase II Pro Forma'!$D$90:$R$90,'Official Summary'!H$3,'Phase II Pro Forma'!$D$144:$R$144)+SUMIF('Phase III Pro Forma'!$D$90:$R$90,'Official Summary'!H$3,'Phase III Pro Forma'!$D$144:$R$144))</f>
        <v>-46880128.684024237</v>
      </c>
      <c r="I23" s="356">
        <f ca="1">(SUMIF('Phase I Pro Forma'!$D$90:$R$90,'Official Summary'!I$3,'Phase I Pro Forma'!$D$144:$R$144)+SUMIF('Phase II Pro Forma'!$D$90:$R$90,'Official Summary'!I$3,'Phase II Pro Forma'!$D$144:$R$144)+SUMIF('Phase III Pro Forma'!$D$90:$R$90,'Official Summary'!I$3,'Phase III Pro Forma'!$D$144:$R$144))</f>
        <v>-18305299.61177412</v>
      </c>
      <c r="J23" s="356">
        <f ca="1">(SUMIF('Phase I Pro Forma'!$D$90:$R$90,'Official Summary'!J$3,'Phase I Pro Forma'!$D$144:$R$144)+SUMIF('Phase II Pro Forma'!$D$90:$R$90,'Official Summary'!J$3,'Phase II Pro Forma'!$D$144:$R$144)+SUMIF('Phase III Pro Forma'!$D$90:$R$90,'Official Summary'!J$3,'Phase III Pro Forma'!$D$144:$R$144))</f>
        <v>-18305299.61177412</v>
      </c>
      <c r="K23" s="356">
        <f>(SUMIF('Phase I Pro Forma'!$D$90:$R$90,'Official Summary'!K$3,'Phase I Pro Forma'!$D$144:$R$144)+SUMIF('Phase II Pro Forma'!$D$90:$R$90,'Official Summary'!K$3,'Phase II Pro Forma'!$D$144:$R$144)+SUMIF('Phase III Pro Forma'!$D$90:$R$90,'Official Summary'!K$3,'Phase III Pro Forma'!$D$144:$R$144))</f>
        <v>0</v>
      </c>
      <c r="L23" s="356">
        <f>(SUMIF('Phase I Pro Forma'!$D$90:$R$90,'Official Summary'!L$3,'Phase I Pro Forma'!$D$144:$R$144)+SUMIF('Phase II Pro Forma'!$D$90:$R$90,'Official Summary'!L$3,'Phase II Pro Forma'!$D$144:$R$144)+SUMIF('Phase III Pro Forma'!$D$90:$R$90,'Official Summary'!L$3,'Phase III Pro Forma'!$D$144:$R$144))</f>
        <v>0</v>
      </c>
      <c r="M23" s="356">
        <f>(SUMIF('Phase I Pro Forma'!$D$90:$R$90,'Official Summary'!M$3,'Phase I Pro Forma'!$D$144:$R$144)+SUMIF('Phase II Pro Forma'!$D$90:$R$90,'Official Summary'!M$3,'Phase II Pro Forma'!$D$144:$R$144)+SUMIF('Phase III Pro Forma'!$D$90:$R$90,'Official Summary'!M$3,'Phase III Pro Forma'!$D$144:$R$144))</f>
        <v>0</v>
      </c>
      <c r="N23" s="356">
        <f>(SUMIF('Phase I Pro Forma'!$D$90:$R$90,'Official Summary'!N$3,'Phase I Pro Forma'!$D$144:$R$144)+SUMIF('Phase II Pro Forma'!$D$90:$R$90,'Official Summary'!N$3,'Phase II Pro Forma'!$D$144:$R$144)+SUMIF('Phase III Pro Forma'!$D$90:$R$90,'Official Summary'!N$3,'Phase III Pro Forma'!$D$144:$R$144))</f>
        <v>0</v>
      </c>
    </row>
    <row r="24" spans="1:14">
      <c r="A24" s="355"/>
      <c r="B24" s="355" t="s">
        <v>20</v>
      </c>
      <c r="C24" s="356">
        <f>(SUMIF('Phase I Pro Forma'!$D$90:$R$90,'Official Summary'!C$3,'Phase I Pro Forma'!$D$141:$R$141)+SUMIF('Phase II Pro Forma'!$D$90:$R$90,'Official Summary'!C$3,'Phase II Pro Forma'!$D$141:$R$141)+SUMIF('Phase III Pro Forma'!$D$90:$R$90,'Official Summary'!C$3,'Phase III Pro Forma'!$D$141:$R$141))</f>
        <v>-56664292</v>
      </c>
      <c r="D24" s="356">
        <f>(SUMIF('Phase I Pro Forma'!$D$90:$R$90,'Official Summary'!D$3,'Phase I Pro Forma'!$D$141:$R$141)+SUMIF('Phase II Pro Forma'!$D$90:$R$90,'Official Summary'!D$3,'Phase II Pro Forma'!$D$141:$R$141)+SUMIF('Phase III Pro Forma'!$D$90:$R$90,'Official Summary'!D$3,'Phase III Pro Forma'!$D$141:$R$141))</f>
        <v>0</v>
      </c>
      <c r="E24" s="356">
        <f>(SUMIF('Phase I Pro Forma'!$D$90:$R$90,'Official Summary'!E$3,'Phase I Pro Forma'!$D$141:$R$141)+SUMIF('Phase II Pro Forma'!$D$90:$R$90,'Official Summary'!E$3,'Phase II Pro Forma'!$D$141:$R$141)+SUMIF('Phase III Pro Forma'!$D$90:$R$90,'Official Summary'!E$3,'Phase III Pro Forma'!$D$141:$R$141))</f>
        <v>-17964902</v>
      </c>
      <c r="F24" s="356">
        <f>(SUMIF('Phase I Pro Forma'!$D$90:$R$90,'Official Summary'!F$3,'Phase I Pro Forma'!$D$141:$R$141)+SUMIF('Phase II Pro Forma'!$D$90:$R$90,'Official Summary'!F$3,'Phase II Pro Forma'!$D$141:$R$141)+SUMIF('Phase III Pro Forma'!$D$90:$R$90,'Official Summary'!F$3,'Phase III Pro Forma'!$D$141:$R$141))</f>
        <v>0</v>
      </c>
      <c r="G24" s="356">
        <f>(SUMIF('Phase I Pro Forma'!$D$90:$R$90,'Official Summary'!G$3,'Phase I Pro Forma'!$D$141:$R$141)+SUMIF('Phase II Pro Forma'!$D$90:$R$90,'Official Summary'!G$3,'Phase II Pro Forma'!$D$141:$R$141)+SUMIF('Phase III Pro Forma'!$D$90:$R$90,'Official Summary'!G$3,'Phase III Pro Forma'!$D$141:$R$141))</f>
        <v>-25430473</v>
      </c>
      <c r="H24" s="356">
        <f>(SUMIF('Phase I Pro Forma'!$D$90:$R$90,'Official Summary'!H$3,'Phase I Pro Forma'!$D$141:$R$141)+SUMIF('Phase II Pro Forma'!$D$90:$R$90,'Official Summary'!H$3,'Phase II Pro Forma'!$D$141:$R$141)+SUMIF('Phase III Pro Forma'!$D$90:$R$90,'Official Summary'!H$3,'Phase III Pro Forma'!$D$141:$R$141))</f>
        <v>0</v>
      </c>
      <c r="I24" s="356">
        <f>(SUMIF('Phase I Pro Forma'!$D$90:$R$90,'Official Summary'!I$3,'Phase I Pro Forma'!$D$141:$R$141)+SUMIF('Phase II Pro Forma'!$D$90:$R$90,'Official Summary'!I$3,'Phase II Pro Forma'!$D$141:$R$141)+SUMIF('Phase III Pro Forma'!$D$90:$R$90,'Official Summary'!I$3,'Phase III Pro Forma'!$D$141:$R$141))</f>
        <v>0</v>
      </c>
      <c r="J24" s="356">
        <f>(SUMIF('Phase I Pro Forma'!$D$90:$R$90,'Official Summary'!J$3,'Phase I Pro Forma'!$D$141:$R$141)+SUMIF('Phase II Pro Forma'!$D$90:$R$90,'Official Summary'!J$3,'Phase II Pro Forma'!$D$141:$R$141)+SUMIF('Phase III Pro Forma'!$D$90:$R$90,'Official Summary'!J$3,'Phase III Pro Forma'!$D$141:$R$141))</f>
        <v>0</v>
      </c>
      <c r="K24" s="356">
        <f>(SUMIF('Phase I Pro Forma'!$D$90:$R$90,'Official Summary'!K$3,'Phase I Pro Forma'!$D$141:$R$141)+SUMIF('Phase II Pro Forma'!$D$90:$R$90,'Official Summary'!K$3,'Phase II Pro Forma'!$D$141:$R$141)+SUMIF('Phase III Pro Forma'!$D$90:$R$90,'Official Summary'!K$3,'Phase III Pro Forma'!$D$141:$R$141))</f>
        <v>0</v>
      </c>
      <c r="L24" s="356">
        <f>(SUMIF('Phase I Pro Forma'!$D$90:$R$90,'Official Summary'!L$3,'Phase I Pro Forma'!$D$141:$R$141)+SUMIF('Phase II Pro Forma'!$D$90:$R$90,'Official Summary'!L$3,'Phase II Pro Forma'!$D$141:$R$141)+SUMIF('Phase III Pro Forma'!$D$90:$R$90,'Official Summary'!L$3,'Phase III Pro Forma'!$D$141:$R$141))</f>
        <v>0</v>
      </c>
      <c r="M24" s="356">
        <f>(SUMIF('Phase I Pro Forma'!$D$90:$R$90,'Official Summary'!M$3,'Phase I Pro Forma'!$D$141:$R$141)+SUMIF('Phase II Pro Forma'!$D$90:$R$90,'Official Summary'!M$3,'Phase II Pro Forma'!$D$141:$R$141)+SUMIF('Phase III Pro Forma'!$D$90:$R$90,'Official Summary'!M$3,'Phase III Pro Forma'!$D$141:$R$141))</f>
        <v>0</v>
      </c>
      <c r="N24" s="356">
        <f>(SUMIF('Phase I Pro Forma'!$D$90:$R$90,'Official Summary'!N$3,'Phase I Pro Forma'!$D$141:$R$141)+SUMIF('Phase II Pro Forma'!$D$90:$R$90,'Official Summary'!N$3,'Phase II Pro Forma'!$D$141:$R$141)+SUMIF('Phase III Pro Forma'!$D$90:$R$90,'Official Summary'!N$3,'Phase III Pro Forma'!$D$141:$R$141))</f>
        <v>0</v>
      </c>
    </row>
    <row r="25" spans="1:14">
      <c r="B25" s="355" t="s">
        <v>21</v>
      </c>
      <c r="C25" s="356">
        <f>(SUMIF('Phase I Pro Forma'!$D$90:$R$90,'Official Summary'!C$3,'Phase I Pro Forma'!$D$142:$R$142)+SUMIF('Phase II Pro Forma'!$D$90:$R$90,'Official Summary'!C$3,'Phase II Pro Forma'!$D$142:$R$142)+SUMIF('Phase III Pro Forma'!$D$90:$R$90,'Official Summary'!C$3,'Phase III Pro Forma'!$D$142:$R$142))</f>
        <v>0</v>
      </c>
      <c r="D25" s="356">
        <f ca="1">(SUMIF('Phase I Pro Forma'!$D$90:$R$90,'Official Summary'!D$3,'Phase I Pro Forma'!$D$142:$R$142)+SUMIF('Phase II Pro Forma'!$D$90:$R$90,'Official Summary'!D$3,'Phase II Pro Forma'!$D$142:$R$142)+SUMIF('Phase III Pro Forma'!$D$90:$R$90,'Official Summary'!D$3,'Phase III Pro Forma'!$D$142:$R$142))</f>
        <v>-7205679.1499999994</v>
      </c>
      <c r="E25" s="356">
        <f ca="1">(SUMIF('Phase I Pro Forma'!$D$90:$R$90,'Official Summary'!E$3,'Phase I Pro Forma'!$D$142:$R$142)+SUMIF('Phase II Pro Forma'!$D$90:$R$90,'Official Summary'!E$3,'Phase II Pro Forma'!$D$142:$R$142)+SUMIF('Phase III Pro Forma'!$D$90:$R$90,'Official Summary'!E$3,'Phase III Pro Forma'!$D$142:$R$142))</f>
        <v>-7205679.1499999994</v>
      </c>
      <c r="F25" s="356">
        <f ca="1">(SUMIF('Phase I Pro Forma'!$D$90:$R$90,'Official Summary'!F$3,'Phase I Pro Forma'!$D$142:$R$142)+SUMIF('Phase II Pro Forma'!$D$90:$R$90,'Official Summary'!F$3,'Phase II Pro Forma'!$D$142:$R$142)+SUMIF('Phase III Pro Forma'!$D$90:$R$90,'Official Summary'!F$3,'Phase III Pro Forma'!$D$142:$R$142))</f>
        <v>-12118366.660234999</v>
      </c>
      <c r="G25" s="356">
        <f ca="1">(SUMIF('Phase I Pro Forma'!$D$90:$R$90,'Official Summary'!G$3,'Phase I Pro Forma'!$D$142:$R$142)+SUMIF('Phase II Pro Forma'!$D$90:$R$90,'Official Summary'!G$3,'Phase II Pro Forma'!$D$142:$R$142)+SUMIF('Phase III Pro Forma'!$D$90:$R$90,'Official Summary'!G$3,'Phase III Pro Forma'!$D$142:$R$142))</f>
        <v>-4912687.5102350004</v>
      </c>
      <c r="H25" s="356">
        <f ca="1">(SUMIF('Phase I Pro Forma'!$D$90:$R$90,'Official Summary'!H$3,'Phase I Pro Forma'!$D$142:$R$142)+SUMIF('Phase II Pro Forma'!$D$90:$R$90,'Official Summary'!H$3,'Phase II Pro Forma'!$D$142:$R$142)+SUMIF('Phase III Pro Forma'!$D$90:$R$90,'Official Summary'!H$3,'Phase III Pro Forma'!$D$142:$R$142))</f>
        <v>-6980125.3016008772</v>
      </c>
      <c r="I25" s="356">
        <f ca="1">(SUMIF('Phase I Pro Forma'!$D$90:$R$90,'Official Summary'!I$3,'Phase I Pro Forma'!$D$142:$R$142)+SUMIF('Phase II Pro Forma'!$D$90:$R$90,'Official Summary'!I$3,'Phase II Pro Forma'!$D$142:$R$142)+SUMIF('Phase III Pro Forma'!$D$90:$R$90,'Official Summary'!I$3,'Phase III Pro Forma'!$D$142:$R$142))</f>
        <v>-2067437.7913658768</v>
      </c>
      <c r="J25" s="356">
        <f ca="1">(SUMIF('Phase I Pro Forma'!$D$90:$R$90,'Official Summary'!J$3,'Phase I Pro Forma'!$D$142:$R$142)+SUMIF('Phase II Pro Forma'!$D$90:$R$90,'Official Summary'!J$3,'Phase II Pro Forma'!$D$142:$R$142)+SUMIF('Phase III Pro Forma'!$D$90:$R$90,'Official Summary'!J$3,'Phase III Pro Forma'!$D$142:$R$142))</f>
        <v>-2067437.7913658768</v>
      </c>
      <c r="K25" s="356">
        <f>(SUMIF('Phase I Pro Forma'!$D$90:$R$90,'Official Summary'!K$3,'Phase I Pro Forma'!$D$142:$R$142)+SUMIF('Phase II Pro Forma'!$D$90:$R$90,'Official Summary'!K$3,'Phase II Pro Forma'!$D$142:$R$142)+SUMIF('Phase III Pro Forma'!$D$90:$R$90,'Official Summary'!K$3,'Phase III Pro Forma'!$D$142:$R$142))</f>
        <v>0</v>
      </c>
      <c r="L25" s="356">
        <f>(SUMIF('Phase I Pro Forma'!$D$90:$R$90,'Official Summary'!L$3,'Phase I Pro Forma'!$D$142:$R$142)+SUMIF('Phase II Pro Forma'!$D$90:$R$90,'Official Summary'!L$3,'Phase II Pro Forma'!$D$142:$R$142)+SUMIF('Phase III Pro Forma'!$D$90:$R$90,'Official Summary'!L$3,'Phase III Pro Forma'!$D$142:$R$142))</f>
        <v>0</v>
      </c>
      <c r="M25" s="356">
        <f>(SUMIF('Phase I Pro Forma'!$D$90:$R$90,'Official Summary'!M$3,'Phase I Pro Forma'!$D$142:$R$142)+SUMIF('Phase II Pro Forma'!$D$90:$R$90,'Official Summary'!M$3,'Phase II Pro Forma'!$D$142:$R$142)+SUMIF('Phase III Pro Forma'!$D$90:$R$90,'Official Summary'!M$3,'Phase III Pro Forma'!$D$142:$R$142))</f>
        <v>0</v>
      </c>
      <c r="N25" s="356">
        <f>(SUMIF('Phase I Pro Forma'!$D$90:$R$90,'Official Summary'!N$3,'Phase I Pro Forma'!$D$142:$R$142)+SUMIF('Phase II Pro Forma'!$D$90:$R$90,'Official Summary'!N$3,'Phase II Pro Forma'!$D$142:$R$142)+SUMIF('Phase III Pro Forma'!$D$90:$R$90,'Official Summary'!N$3,'Phase III Pro Forma'!$D$142:$R$142))</f>
        <v>0</v>
      </c>
    </row>
    <row r="26" spans="1:14">
      <c r="A26" s="355"/>
      <c r="B26" s="355" t="s">
        <v>22</v>
      </c>
      <c r="C26" s="356">
        <f>(SUMIF('Phase I Pro Forma'!$D$90:$R$90,'Official Summary'!C$3,'Phase I Pro Forma'!$D$146:$R$146)+SUMIF('Phase II Pro Forma'!$D$90:$R$90,'Official Summary'!C$3,'Phase II Pro Forma'!$D$146:$R$146)+SUMIF('Phase III Pro Forma'!$D$90:$R$90,'Official Summary'!C$3,'Phase III Pro Forma'!$D$146:$R$146))</f>
        <v>0</v>
      </c>
      <c r="D26" s="356">
        <f>(SUMIF('Phase I Pro Forma'!$D$90:$R$90,'Official Summary'!D$3,'Phase I Pro Forma'!$D$146:$R$146)+SUMIF('Phase II Pro Forma'!$D$90:$R$90,'Official Summary'!D$3,'Phase II Pro Forma'!$D$146:$R$146)+SUMIF('Phase III Pro Forma'!$D$90:$R$90,'Official Summary'!D$3,'Phase III Pro Forma'!$D$146:$R$146))</f>
        <v>-111111.11111111111</v>
      </c>
      <c r="E26" s="356">
        <f>(SUMIF('Phase I Pro Forma'!$D$90:$R$90,'Official Summary'!E$3,'Phase I Pro Forma'!$D$146:$R$146)+SUMIF('Phase II Pro Forma'!$D$90:$R$90,'Official Summary'!E$3,'Phase II Pro Forma'!$D$146:$R$146)+SUMIF('Phase III Pro Forma'!$D$90:$R$90,'Official Summary'!E$3,'Phase III Pro Forma'!$D$146:$R$146))</f>
        <v>-111111.11111111111</v>
      </c>
      <c r="F26" s="356">
        <f>(SUMIF('Phase I Pro Forma'!$D$90:$R$90,'Official Summary'!F$3,'Phase I Pro Forma'!$D$146:$R$146)+SUMIF('Phase II Pro Forma'!$D$90:$R$90,'Official Summary'!F$3,'Phase II Pro Forma'!$D$146:$R$146)+SUMIF('Phase III Pro Forma'!$D$90:$R$90,'Official Summary'!F$3,'Phase III Pro Forma'!$D$146:$R$146))</f>
        <v>-222222.22222222222</v>
      </c>
      <c r="G26" s="356">
        <f>(SUMIF('Phase I Pro Forma'!$D$90:$R$90,'Official Summary'!G$3,'Phase I Pro Forma'!$D$146:$R$146)+SUMIF('Phase II Pro Forma'!$D$90:$R$90,'Official Summary'!G$3,'Phase II Pro Forma'!$D$146:$R$146)+SUMIF('Phase III Pro Forma'!$D$90:$R$90,'Official Summary'!G$3,'Phase III Pro Forma'!$D$146:$R$146))</f>
        <v>-111111.11111111111</v>
      </c>
      <c r="H26" s="356">
        <f>(SUMIF('Phase I Pro Forma'!$D$90:$R$90,'Official Summary'!H$3,'Phase I Pro Forma'!$D$146:$R$146)+SUMIF('Phase II Pro Forma'!$D$90:$R$90,'Official Summary'!H$3,'Phase II Pro Forma'!$D$146:$R$146)+SUMIF('Phase III Pro Forma'!$D$90:$R$90,'Official Summary'!H$3,'Phase III Pro Forma'!$D$146:$R$146))</f>
        <v>-222222.22222222222</v>
      </c>
      <c r="I26" s="356">
        <f>(SUMIF('Phase I Pro Forma'!$D$90:$R$90,'Official Summary'!I$3,'Phase I Pro Forma'!$D$146:$R$146)+SUMIF('Phase II Pro Forma'!$D$90:$R$90,'Official Summary'!I$3,'Phase II Pro Forma'!$D$146:$R$146)+SUMIF('Phase III Pro Forma'!$D$90:$R$90,'Official Summary'!I$3,'Phase III Pro Forma'!$D$146:$R$146))</f>
        <v>-111111.11111111111</v>
      </c>
      <c r="J26" s="356">
        <f>(SUMIF('Phase I Pro Forma'!$D$90:$R$90,'Official Summary'!J$3,'Phase I Pro Forma'!$D$146:$R$146)+SUMIF('Phase II Pro Forma'!$D$90:$R$90,'Official Summary'!J$3,'Phase II Pro Forma'!$D$146:$R$146)+SUMIF('Phase III Pro Forma'!$D$90:$R$90,'Official Summary'!J$3,'Phase III Pro Forma'!$D$146:$R$146))</f>
        <v>-111111.11111111111</v>
      </c>
      <c r="K26" s="356">
        <f>(SUMIF('Phase I Pro Forma'!$D$90:$R$90,'Official Summary'!K$3,'Phase I Pro Forma'!$D$146:$R$146)+SUMIF('Phase II Pro Forma'!$D$90:$R$90,'Official Summary'!K$3,'Phase II Pro Forma'!$D$146:$R$146)+SUMIF('Phase III Pro Forma'!$D$90:$R$90,'Official Summary'!K$3,'Phase III Pro Forma'!$D$146:$R$146))</f>
        <v>0</v>
      </c>
      <c r="L26" s="356">
        <f>(SUMIF('Phase I Pro Forma'!$D$90:$R$90,'Official Summary'!L$3,'Phase I Pro Forma'!$D$146:$R$146)+SUMIF('Phase II Pro Forma'!$D$90:$R$90,'Official Summary'!L$3,'Phase II Pro Forma'!$D$146:$R$146)+SUMIF('Phase III Pro Forma'!$D$90:$R$90,'Official Summary'!L$3,'Phase III Pro Forma'!$D$146:$R$146))</f>
        <v>0</v>
      </c>
      <c r="M26" s="356">
        <f>(SUMIF('Phase I Pro Forma'!$D$90:$R$90,'Official Summary'!M$3,'Phase I Pro Forma'!$D$146:$R$146)+SUMIF('Phase II Pro Forma'!$D$90:$R$90,'Official Summary'!M$3,'Phase II Pro Forma'!$D$146:$R$146)+SUMIF('Phase III Pro Forma'!$D$90:$R$90,'Official Summary'!M$3,'Phase III Pro Forma'!$D$146:$R$146))</f>
        <v>0</v>
      </c>
      <c r="N26" s="356">
        <f>(SUMIF('Phase I Pro Forma'!$D$90:$R$90,'Official Summary'!N$3,'Phase I Pro Forma'!$D$146:$R$146)+SUMIF('Phase II Pro Forma'!$D$90:$R$90,'Official Summary'!N$3,'Phase II Pro Forma'!$D$146:$R$146)+SUMIF('Phase III Pro Forma'!$D$90:$R$90,'Official Summary'!N$3,'Phase III Pro Forma'!$D$146:$R$146))</f>
        <v>0</v>
      </c>
    </row>
    <row r="27" spans="1:14">
      <c r="B27" s="353" t="s">
        <v>23</v>
      </c>
      <c r="C27" s="356">
        <f>SUM(C18:C26)</f>
        <v>-56664292</v>
      </c>
      <c r="D27" s="356">
        <f ca="1">SUM(D18:D26)</f>
        <v>-115605167.11457761</v>
      </c>
      <c r="E27" s="356">
        <f ca="1">SUM(E18:E26)</f>
        <v>-133570069.11457761</v>
      </c>
      <c r="F27" s="356">
        <f ca="1">SUM(F18:F26)</f>
        <v>-258590423.58693931</v>
      </c>
      <c r="G27" s="356">
        <f ca="1">SUM(G18:G26)</f>
        <v>-168415729.47236171</v>
      </c>
      <c r="H27" s="356">
        <f ca="1">SUM(H18:H26)</f>
        <v>-234622865.64234343</v>
      </c>
      <c r="I27" s="356">
        <f ca="1">SUM(I18:I26)</f>
        <v>-91637609.169981703</v>
      </c>
      <c r="J27" s="356">
        <f ca="1">SUM(J18:J26)</f>
        <v>-91637609.169981703</v>
      </c>
      <c r="K27" s="356">
        <f ca="1">SUM(K18:K26)</f>
        <v>0</v>
      </c>
      <c r="L27" s="356">
        <f ca="1">SUM(L18:L26)</f>
        <v>0</v>
      </c>
      <c r="M27" s="356">
        <f ca="1">SUM(M18:M26)</f>
        <v>0</v>
      </c>
      <c r="N27" s="356">
        <f ca="1">SUM(N18:N26)</f>
        <v>0</v>
      </c>
    </row>
    <row r="28" spans="1:14">
      <c r="B28" s="358" t="s">
        <v>24</v>
      </c>
      <c r="C28" s="356">
        <f ca="1">(SUMIF('Phase I Pro Forma'!$D$90:$R$90,'Official Summary'!C$3,'Phase I Pro Forma'!$D$154:$R$154)+SUMIF('Phase II Pro Forma'!$D$90:$R$90,'Official Summary'!C$3,'Phase II Pro Forma'!$D$154:$R$154)+SUMIF('Phase III Pro Forma'!$D$90:$R$90,'Official Summary'!C$3,'Phase III Pro Forma'!$D$154:$R$154))+(SUMIF('Phase I Pro Forma'!$D$90:$R$90,'Official Summary'!C$3,'Phase I Pro Forma'!$D$155:$R$155)+SUMIF('Phase II Pro Forma'!$D$90:$R$90,'Official Summary'!C$3,'Phase II Pro Forma'!$D$155:$R$155)+SUMIF('Phase III Pro Forma'!$D$90:$R$90,'Official Summary'!C$3,'Phase III Pro Forma'!$D$155:$R$155))+(SUMIF('Phase I Pro Forma'!$D$90:$R$90,'Official Summary'!C$3,'Phase I Pro Forma'!$D$157:$R$157)+SUMIF('Phase II Pro Forma'!$D$90:$R$90,'Official Summary'!C$3,'Phase II Pro Forma'!$D$157:$R$157)+SUMIF('Phase III Pro Forma'!$D$90:$R$90,'Official Summary'!C$3,'Phase III Pro Forma'!$D$157:$R$157))+(SUMIF('Phase I Pro Forma'!$D$90:$R$90,'Official Summary'!C$3,'Phase I Pro Forma'!$D$159:$R$159)+SUMIF('Phase II Pro Forma'!$D$90:$R$90,'Official Summary'!C$3,'Phase II Pro Forma'!$D$159:$R$159)+SUMIF('Phase III Pro Forma'!$D$90:$R$90,'Official Summary'!C$3,'Phase III Pro Forma'!$D$159:$R$159))</f>
        <v>0</v>
      </c>
      <c r="D28" s="356">
        <f ca="1">(SUMIF('Phase I Pro Forma'!$D$90:$R$90,'Official Summary'!D$3,'Phase I Pro Forma'!$D$154:$R$154)+SUMIF('Phase II Pro Forma'!$D$90:$R$90,'Official Summary'!D$3,'Phase II Pro Forma'!$D$154:$R$154)+SUMIF('Phase III Pro Forma'!$D$90:$R$90,'Official Summary'!D$3,'Phase III Pro Forma'!$D$154:$R$154))+(SUMIF('Phase I Pro Forma'!$D$90:$R$90,'Official Summary'!D$3,'Phase I Pro Forma'!$D$155:$R$155)+SUMIF('Phase II Pro Forma'!$D$90:$R$90,'Official Summary'!D$3,'Phase II Pro Forma'!$D$155:$R$155)+SUMIF('Phase III Pro Forma'!$D$90:$R$90,'Official Summary'!D$3,'Phase III Pro Forma'!$D$155:$R$155))+(SUMIF('Phase I Pro Forma'!$D$90:$R$90,'Official Summary'!D$3,'Phase I Pro Forma'!$D$157:$R$157)+SUMIF('Phase II Pro Forma'!$D$90:$R$90,'Official Summary'!D$3,'Phase II Pro Forma'!$D$157:$R$157)+SUMIF('Phase III Pro Forma'!$D$90:$R$90,'Official Summary'!D$3,'Phase III Pro Forma'!$D$157:$R$157))+(SUMIF('Phase I Pro Forma'!$D$90:$R$90,'Official Summary'!D$3,'Phase I Pro Forma'!$D$159:$R$159)+SUMIF('Phase II Pro Forma'!$D$90:$R$90,'Official Summary'!D$3,'Phase II Pro Forma'!$D$159:$R$159)+SUMIF('Phase III Pro Forma'!$D$90:$R$90,'Official Summary'!D$3,'Phase III Pro Forma'!$D$159:$R$159))</f>
        <v>68986317.548235297</v>
      </c>
      <c r="E28" s="356">
        <f ca="1">(SUMIF('Phase I Pro Forma'!$D$90:$R$90,'Official Summary'!E$3,'Phase I Pro Forma'!$D$154:$R$154)+SUMIF('Phase II Pro Forma'!$D$90:$R$90,'Official Summary'!E$3,'Phase II Pro Forma'!$D$154:$R$154)+SUMIF('Phase III Pro Forma'!$D$90:$R$90,'Official Summary'!E$3,'Phase III Pro Forma'!$D$154:$R$154))+(SUMIF('Phase I Pro Forma'!$D$90:$R$90,'Official Summary'!E$3,'Phase I Pro Forma'!$D$155:$R$155)+SUMIF('Phase II Pro Forma'!$D$90:$R$90,'Official Summary'!E$3,'Phase II Pro Forma'!$D$155:$R$155)+SUMIF('Phase III Pro Forma'!$D$90:$R$90,'Official Summary'!E$3,'Phase III Pro Forma'!$D$155:$R$155))+(SUMIF('Phase I Pro Forma'!$D$90:$R$90,'Official Summary'!E$3,'Phase I Pro Forma'!$D$157:$R$157)+SUMIF('Phase II Pro Forma'!$D$90:$R$90,'Official Summary'!E$3,'Phase II Pro Forma'!$D$157:$R$157)+SUMIF('Phase III Pro Forma'!$D$90:$R$90,'Official Summary'!E$3,'Phase III Pro Forma'!$D$157:$R$157))+(SUMIF('Phase I Pro Forma'!$D$90:$R$90,'Official Summary'!E$3,'Phase I Pro Forma'!$D$159:$R$159)+SUMIF('Phase II Pro Forma'!$D$90:$R$90,'Official Summary'!E$3,'Phase II Pro Forma'!$D$159:$R$159)+SUMIF('Phase III Pro Forma'!$D$90:$R$90,'Official Summary'!E$3,'Phase III Pro Forma'!$D$159:$R$159))</f>
        <v>0</v>
      </c>
      <c r="F28" s="356">
        <f ca="1">(SUMIF('Phase I Pro Forma'!$D$90:$R$90,'Official Summary'!F$3,'Phase I Pro Forma'!$D$154:$R$154)+SUMIF('Phase II Pro Forma'!$D$90:$R$90,'Official Summary'!F$3,'Phase II Pro Forma'!$D$154:$R$154)+SUMIF('Phase III Pro Forma'!$D$90:$R$90,'Official Summary'!F$3,'Phase III Pro Forma'!$D$154:$R$154))+(SUMIF('Phase I Pro Forma'!$D$90:$R$90,'Official Summary'!F$3,'Phase I Pro Forma'!$D$155:$R$155)+SUMIF('Phase II Pro Forma'!$D$90:$R$90,'Official Summary'!F$3,'Phase II Pro Forma'!$D$155:$R$155)+SUMIF('Phase III Pro Forma'!$D$90:$R$90,'Official Summary'!F$3,'Phase III Pro Forma'!$D$155:$R$155))+(SUMIF('Phase I Pro Forma'!$D$90:$R$90,'Official Summary'!F$3,'Phase I Pro Forma'!$D$157:$R$157)+SUMIF('Phase II Pro Forma'!$D$90:$R$90,'Official Summary'!F$3,'Phase II Pro Forma'!$D$157:$R$157)+SUMIF('Phase III Pro Forma'!$D$90:$R$90,'Official Summary'!F$3,'Phase III Pro Forma'!$D$157:$R$157))+(SUMIF('Phase I Pro Forma'!$D$90:$R$90,'Official Summary'!F$3,'Phase I Pro Forma'!$D$159:$R$159)+SUMIF('Phase II Pro Forma'!$D$90:$R$90,'Official Summary'!F$3,'Phase II Pro Forma'!$D$159:$R$159)+SUMIF('Phase III Pro Forma'!$D$90:$R$90,'Official Summary'!F$3,'Phase III Pro Forma'!$D$159:$R$159))</f>
        <v>87690219.294992313</v>
      </c>
      <c r="G28" s="356">
        <f ca="1">(SUMIF('Phase I Pro Forma'!$D$90:$R$90,'Official Summary'!G$3,'Phase I Pro Forma'!$D$154:$R$154)+SUMIF('Phase II Pro Forma'!$D$90:$R$90,'Official Summary'!G$3,'Phase II Pro Forma'!$D$154:$R$154)+SUMIF('Phase III Pro Forma'!$D$90:$R$90,'Official Summary'!G$3,'Phase III Pro Forma'!$D$154:$R$154))+(SUMIF('Phase I Pro Forma'!$D$90:$R$90,'Official Summary'!G$3,'Phase I Pro Forma'!$D$155:$R$155)+SUMIF('Phase II Pro Forma'!$D$90:$R$90,'Official Summary'!G$3,'Phase II Pro Forma'!$D$155:$R$155)+SUMIF('Phase III Pro Forma'!$D$90:$R$90,'Official Summary'!G$3,'Phase III Pro Forma'!$D$155:$R$155))+(SUMIF('Phase I Pro Forma'!$D$90:$R$90,'Official Summary'!G$3,'Phase I Pro Forma'!$D$157:$R$157)+SUMIF('Phase II Pro Forma'!$D$90:$R$90,'Official Summary'!G$3,'Phase II Pro Forma'!$D$157:$R$157)+SUMIF('Phase III Pro Forma'!$D$90:$R$90,'Official Summary'!G$3,'Phase III Pro Forma'!$D$157:$R$157))+(SUMIF('Phase I Pro Forma'!$D$90:$R$90,'Official Summary'!G$3,'Phase I Pro Forma'!$D$159:$R$159)+SUMIF('Phase II Pro Forma'!$D$90:$R$90,'Official Summary'!G$3,'Phase II Pro Forma'!$D$159:$R$159)+SUMIF('Phase III Pro Forma'!$D$90:$R$90,'Official Summary'!G$3,'Phase III Pro Forma'!$D$159:$R$159))</f>
        <v>0</v>
      </c>
      <c r="H28" s="356">
        <f ca="1">(SUMIF('Phase I Pro Forma'!$D$90:$R$90,'Official Summary'!H$3,'Phase I Pro Forma'!$D$154:$R$154)+SUMIF('Phase II Pro Forma'!$D$90:$R$90,'Official Summary'!H$3,'Phase II Pro Forma'!$D$154:$R$154)+SUMIF('Phase III Pro Forma'!$D$90:$R$90,'Official Summary'!H$3,'Phase III Pro Forma'!$D$154:$R$154))+(SUMIF('Phase I Pro Forma'!$D$90:$R$90,'Official Summary'!H$3,'Phase I Pro Forma'!$D$155:$R$155)+SUMIF('Phase II Pro Forma'!$D$90:$R$90,'Official Summary'!H$3,'Phase II Pro Forma'!$D$155:$R$155)+SUMIF('Phase III Pro Forma'!$D$90:$R$90,'Official Summary'!H$3,'Phase III Pro Forma'!$D$155:$R$155))+(SUMIF('Phase I Pro Forma'!$D$90:$R$90,'Official Summary'!H$3,'Phase I Pro Forma'!$D$157:$R$157)+SUMIF('Phase II Pro Forma'!$D$90:$R$90,'Official Summary'!H$3,'Phase II Pro Forma'!$D$157:$R$157)+SUMIF('Phase III Pro Forma'!$D$90:$R$90,'Official Summary'!H$3,'Phase III Pro Forma'!$D$157:$R$157))+(SUMIF('Phase I Pro Forma'!$D$90:$R$90,'Official Summary'!H$3,'Phase I Pro Forma'!$D$159:$R$159)+SUMIF('Phase II Pro Forma'!$D$90:$R$90,'Official Summary'!H$3,'Phase II Pro Forma'!$D$159:$R$159)+SUMIF('Phase III Pro Forma'!$D$90:$R$90,'Official Summary'!H$3,'Phase III Pro Forma'!$D$159:$R$159))</f>
        <v>69897118.256261975</v>
      </c>
      <c r="I28" s="356">
        <f ca="1">(SUMIF('Phase I Pro Forma'!$D$90:$R$90,'Official Summary'!I$3,'Phase I Pro Forma'!$D$154:$R$154)+SUMIF('Phase II Pro Forma'!$D$90:$R$90,'Official Summary'!I$3,'Phase II Pro Forma'!$D$154:$R$154)+SUMIF('Phase III Pro Forma'!$D$90:$R$90,'Official Summary'!I$3,'Phase III Pro Forma'!$D$154:$R$154))+(SUMIF('Phase I Pro Forma'!$D$90:$R$90,'Official Summary'!I$3,'Phase I Pro Forma'!$D$155:$R$155)+SUMIF('Phase II Pro Forma'!$D$90:$R$90,'Official Summary'!I$3,'Phase II Pro Forma'!$D$155:$R$155)+SUMIF('Phase III Pro Forma'!$D$90:$R$90,'Official Summary'!I$3,'Phase III Pro Forma'!$D$155:$R$155))+(SUMIF('Phase I Pro Forma'!$D$90:$R$90,'Official Summary'!I$3,'Phase I Pro Forma'!$D$157:$R$157)+SUMIF('Phase II Pro Forma'!$D$90:$R$90,'Official Summary'!I$3,'Phase II Pro Forma'!$D$157:$R$157)+SUMIF('Phase III Pro Forma'!$D$90:$R$90,'Official Summary'!I$3,'Phase III Pro Forma'!$D$157:$R$157))+(SUMIF('Phase I Pro Forma'!$D$90:$R$90,'Official Summary'!I$3,'Phase I Pro Forma'!$D$159:$R$159)+SUMIF('Phase II Pro Forma'!$D$90:$R$90,'Official Summary'!I$3,'Phase II Pro Forma'!$D$159:$R$159)+SUMIF('Phase III Pro Forma'!$D$90:$R$90,'Official Summary'!I$3,'Phase III Pro Forma'!$D$159:$R$159))</f>
        <v>0</v>
      </c>
      <c r="J28" s="356">
        <f ca="1">(SUMIF('Phase I Pro Forma'!$D$90:$R$90,'Official Summary'!J$3,'Phase I Pro Forma'!$D$154:$R$154)+SUMIF('Phase II Pro Forma'!$D$90:$R$90,'Official Summary'!J$3,'Phase II Pro Forma'!$D$154:$R$154)+SUMIF('Phase III Pro Forma'!$D$90:$R$90,'Official Summary'!J$3,'Phase III Pro Forma'!$D$154:$R$154))+(SUMIF('Phase I Pro Forma'!$D$90:$R$90,'Official Summary'!J$3,'Phase I Pro Forma'!$D$155:$R$155)+SUMIF('Phase II Pro Forma'!$D$90:$R$90,'Official Summary'!J$3,'Phase II Pro Forma'!$D$155:$R$155)+SUMIF('Phase III Pro Forma'!$D$90:$R$90,'Official Summary'!J$3,'Phase III Pro Forma'!$D$155:$R$155))+(SUMIF('Phase I Pro Forma'!$D$90:$R$90,'Official Summary'!J$3,'Phase I Pro Forma'!$D$157:$R$157)+SUMIF('Phase II Pro Forma'!$D$90:$R$90,'Official Summary'!J$3,'Phase II Pro Forma'!$D$157:$R$157)+SUMIF('Phase III Pro Forma'!$D$90:$R$90,'Official Summary'!J$3,'Phase III Pro Forma'!$D$157:$R$157))+(SUMIF('Phase I Pro Forma'!$D$90:$R$90,'Official Summary'!J$3,'Phase I Pro Forma'!$D$159:$R$159)+SUMIF('Phase II Pro Forma'!$D$90:$R$90,'Official Summary'!J$3,'Phase II Pro Forma'!$D$159:$R$159)+SUMIF('Phase III Pro Forma'!$D$90:$R$90,'Official Summary'!J$3,'Phase III Pro Forma'!$D$159:$R$159))</f>
        <v>15917625.34991543</v>
      </c>
      <c r="K28" s="356">
        <f ca="1">(SUMIF('Phase I Pro Forma'!$D$90:$R$90,'Official Summary'!K$3,'Phase I Pro Forma'!$D$154:$R$154)+SUMIF('Phase II Pro Forma'!$D$90:$R$90,'Official Summary'!K$3,'Phase II Pro Forma'!$D$154:$R$154)+SUMIF('Phase III Pro Forma'!$D$90:$R$90,'Official Summary'!K$3,'Phase III Pro Forma'!$D$154:$R$154))+(SUMIF('Phase I Pro Forma'!$D$90:$R$90,'Official Summary'!K$3,'Phase I Pro Forma'!$D$155:$R$155)+SUMIF('Phase II Pro Forma'!$D$90:$R$90,'Official Summary'!K$3,'Phase II Pro Forma'!$D$155:$R$155)+SUMIF('Phase III Pro Forma'!$D$90:$R$90,'Official Summary'!K$3,'Phase III Pro Forma'!$D$155:$R$155))+(SUMIF('Phase I Pro Forma'!$D$90:$R$90,'Official Summary'!K$3,'Phase I Pro Forma'!$D$157:$R$157)+SUMIF('Phase II Pro Forma'!$D$90:$R$90,'Official Summary'!K$3,'Phase II Pro Forma'!$D$157:$R$157)+SUMIF('Phase III Pro Forma'!$D$90:$R$90,'Official Summary'!K$3,'Phase III Pro Forma'!$D$157:$R$157))+(SUMIF('Phase I Pro Forma'!$D$90:$R$90,'Official Summary'!K$3,'Phase I Pro Forma'!$D$159:$R$159)+SUMIF('Phase II Pro Forma'!$D$90:$R$90,'Official Summary'!K$3,'Phase II Pro Forma'!$D$159:$R$159)+SUMIF('Phase III Pro Forma'!$D$90:$R$90,'Official Summary'!K$3,'Phase III Pro Forma'!$D$159:$R$159))</f>
        <v>0</v>
      </c>
      <c r="L28" s="356">
        <f ca="1">(SUMIF('Phase I Pro Forma'!$D$90:$R$90,'Official Summary'!L$3,'Phase I Pro Forma'!$D$154:$R$154)+SUMIF('Phase II Pro Forma'!$D$90:$R$90,'Official Summary'!L$3,'Phase II Pro Forma'!$D$154:$R$154)+SUMIF('Phase III Pro Forma'!$D$90:$R$90,'Official Summary'!L$3,'Phase III Pro Forma'!$D$154:$R$154))+(SUMIF('Phase I Pro Forma'!$D$90:$R$90,'Official Summary'!L$3,'Phase I Pro Forma'!$D$155:$R$155)+SUMIF('Phase II Pro Forma'!$D$90:$R$90,'Official Summary'!L$3,'Phase II Pro Forma'!$D$155:$R$155)+SUMIF('Phase III Pro Forma'!$D$90:$R$90,'Official Summary'!L$3,'Phase III Pro Forma'!$D$155:$R$155))+(SUMIF('Phase I Pro Forma'!$D$90:$R$90,'Official Summary'!L$3,'Phase I Pro Forma'!$D$157:$R$157)+SUMIF('Phase II Pro Forma'!$D$90:$R$90,'Official Summary'!L$3,'Phase II Pro Forma'!$D$157:$R$157)+SUMIF('Phase III Pro Forma'!$D$90:$R$90,'Official Summary'!L$3,'Phase III Pro Forma'!$D$157:$R$157))+(SUMIF('Phase I Pro Forma'!$D$90:$R$90,'Official Summary'!L$3,'Phase I Pro Forma'!$D$159:$R$159)+SUMIF('Phase II Pro Forma'!$D$90:$R$90,'Official Summary'!L$3,'Phase II Pro Forma'!$D$159:$R$159)+SUMIF('Phase III Pro Forma'!$D$90:$R$90,'Official Summary'!L$3,'Phase III Pro Forma'!$D$159:$R$159))</f>
        <v>0</v>
      </c>
      <c r="M28" s="356">
        <f>(SUMIF('Phase I Pro Forma'!$D$90:$R$90,'Official Summary'!M$3,'Phase I Pro Forma'!$D$154:$R$154)+SUMIF('Phase II Pro Forma'!$D$90:$R$90,'Official Summary'!M$3,'Phase II Pro Forma'!$D$154:$R$154)+SUMIF('Phase III Pro Forma'!$D$90:$R$90,'Official Summary'!M$3,'Phase III Pro Forma'!$D$154:$R$154))+(SUMIF('Phase I Pro Forma'!$D$90:$R$90,'Official Summary'!M$3,'Phase I Pro Forma'!$D$155:$R$155)+SUMIF('Phase II Pro Forma'!$D$90:$R$90,'Official Summary'!M$3,'Phase II Pro Forma'!$D$155:$R$155)+SUMIF('Phase III Pro Forma'!$D$90:$R$90,'Official Summary'!M$3,'Phase III Pro Forma'!$D$155:$R$155))+(SUMIF('Phase I Pro Forma'!$D$90:$R$90,'Official Summary'!M$3,'Phase I Pro Forma'!$D$157:$R$157)+SUMIF('Phase II Pro Forma'!$D$90:$R$90,'Official Summary'!M$3,'Phase II Pro Forma'!$D$157:$R$157)+SUMIF('Phase III Pro Forma'!$D$90:$R$90,'Official Summary'!M$3,'Phase III Pro Forma'!$D$157:$R$157))+(SUMIF('Phase I Pro Forma'!$D$90:$R$90,'Official Summary'!M$3,'Phase I Pro Forma'!$D$159:$R$159)+SUMIF('Phase II Pro Forma'!$D$90:$R$90,'Official Summary'!M$3,'Phase II Pro Forma'!$D$159:$R$159)+SUMIF('Phase III Pro Forma'!$D$90:$R$90,'Official Summary'!M$3,'Phase III Pro Forma'!$D$159:$R$159))</f>
        <v>0</v>
      </c>
      <c r="N28" s="356">
        <f ca="1">(SUMIF('Phase I Pro Forma'!$D$90:$R$90,'Official Summary'!N$3,'Phase I Pro Forma'!$D$154:$R$154)+SUMIF('Phase II Pro Forma'!$D$90:$R$90,'Official Summary'!N$3,'Phase II Pro Forma'!$D$154:$R$154)+SUMIF('Phase III Pro Forma'!$D$90:$R$90,'Official Summary'!N$3,'Phase III Pro Forma'!$D$154:$R$154))+(SUMIF('Phase I Pro Forma'!$D$90:$R$90,'Official Summary'!N$3,'Phase I Pro Forma'!$D$155:$R$155)+SUMIF('Phase II Pro Forma'!$D$90:$R$90,'Official Summary'!N$3,'Phase II Pro Forma'!$D$155:$R$155)+SUMIF('Phase III Pro Forma'!$D$90:$R$90,'Official Summary'!N$3,'Phase III Pro Forma'!$D$155:$R$155))+(SUMIF('Phase I Pro Forma'!$D$90:$R$90,'Official Summary'!N$3,'Phase I Pro Forma'!$D$157:$R$157)+SUMIF('Phase II Pro Forma'!$D$90:$R$90,'Official Summary'!N$3,'Phase II Pro Forma'!$D$157:$R$157)+SUMIF('Phase III Pro Forma'!$D$90:$R$90,'Official Summary'!N$3,'Phase III Pro Forma'!$D$157:$R$157))+(SUMIF('Phase I Pro Forma'!$D$90:$R$90,'Official Summary'!N$3,'Phase I Pro Forma'!$D$159:$R$159)+SUMIF('Phase II Pro Forma'!$D$90:$R$90,'Official Summary'!N$3,'Phase II Pro Forma'!$D$159:$R$159)+SUMIF('Phase III Pro Forma'!$D$90:$R$90,'Official Summary'!N$3,'Phase III Pro Forma'!$D$159:$R$159))</f>
        <v>0</v>
      </c>
    </row>
    <row r="29" spans="1:14" ht="17.100000000000001" thickBot="1">
      <c r="B29" s="358" t="s">
        <v>25</v>
      </c>
      <c r="C29" s="356">
        <f ca="1">(SUMIF('Phase I Pro Forma'!$D$90:$R$90,'Official Summary'!C$3,'Phase I Pro Forma'!$D$152:$R$152)+SUMIF('Phase II Pro Forma'!$D$90:$R$90,'Official Summary'!C$3,'Phase II Pro Forma'!$D$152:$R$152)+SUMIF('Phase III Pro Forma'!$D$90:$R$90,'Official Summary'!C$3,'Phase III Pro Forma'!$D$152:$R$152))+(SUMIF('Phase I Pro Forma'!$D$90:$R$90,'Official Summary'!C$3,'Phase I Pro Forma'!$D$153:$R$153)+SUMIF('Phase II Pro Forma'!$D$90:$R$90,'Official Summary'!C$3,'Phase II Pro Forma'!$D$153:$R$153)+SUMIF('Phase III Pro Forma'!$D$90:$R$90,'Official Summary'!C$3,'Phase III Pro Forma'!$D$153:$R$153))</f>
        <v>16167283.709481478</v>
      </c>
      <c r="D29" s="356">
        <f ca="1">(SUMIF('Phase I Pro Forma'!$D$90:$R$90,'Official Summary'!D$3,'Phase I Pro Forma'!$D$152:$R$152)+SUMIF('Phase II Pro Forma'!$D$90:$R$90,'Official Summary'!D$3,'Phase II Pro Forma'!$D$152:$R$152)+SUMIF('Phase III Pro Forma'!$D$90:$R$90,'Official Summary'!D$3,'Phase III Pro Forma'!$D$152:$R$152))+(SUMIF('Phase I Pro Forma'!$D$90:$R$90,'Official Summary'!D$3,'Phase I Pro Forma'!$D$153:$R$153)+SUMIF('Phase II Pro Forma'!$D$90:$R$90,'Official Summary'!D$3,'Phase II Pro Forma'!$D$153:$R$153)+SUMIF('Phase III Pro Forma'!$D$90:$R$90,'Official Summary'!D$3,'Phase III Pro Forma'!$D$153:$R$153))</f>
        <v>11853879.215851855</v>
      </c>
      <c r="E29" s="356">
        <f ca="1">(SUMIF('Phase I Pro Forma'!$D$90:$R$90,'Official Summary'!E$3,'Phase I Pro Forma'!$D$152:$R$152)+SUMIF('Phase II Pro Forma'!$D$90:$R$90,'Official Summary'!E$3,'Phase II Pro Forma'!$D$152:$R$152)+SUMIF('Phase III Pro Forma'!$D$90:$R$90,'Official Summary'!E$3,'Phase III Pro Forma'!$D$152:$R$152))+(SUMIF('Phase I Pro Forma'!$D$90:$R$90,'Official Summary'!E$3,'Phase I Pro Forma'!$D$153:$R$153)+SUMIF('Phase II Pro Forma'!$D$90:$R$90,'Official Summary'!E$3,'Phase II Pro Forma'!$D$153:$R$153)+SUMIF('Phase III Pro Forma'!$D$90:$R$90,'Official Summary'!E$3,'Phase III Pro Forma'!$D$153:$R$153))</f>
        <v>0</v>
      </c>
      <c r="F29" s="356">
        <f ca="1">(SUMIF('Phase I Pro Forma'!$D$90:$R$90,'Official Summary'!F$3,'Phase I Pro Forma'!$D$152:$R$152)+SUMIF('Phase II Pro Forma'!$D$90:$R$90,'Official Summary'!F$3,'Phase II Pro Forma'!$D$152:$R$152)+SUMIF('Phase III Pro Forma'!$D$90:$R$90,'Official Summary'!F$3,'Phase III Pro Forma'!$D$152:$R$152))+(SUMIF('Phase I Pro Forma'!$D$90:$R$90,'Official Summary'!F$3,'Phase I Pro Forma'!$D$153:$R$153)+SUMIF('Phase II Pro Forma'!$D$90:$R$90,'Official Summary'!F$3,'Phase II Pro Forma'!$D$153:$R$153)+SUMIF('Phase III Pro Forma'!$D$90:$R$90,'Official Summary'!F$3,'Phase III Pro Forma'!$D$153:$R$153))</f>
        <v>9665749.6374999993</v>
      </c>
      <c r="G29" s="356">
        <f ca="1">(SUMIF('Phase I Pro Forma'!$D$90:$R$90,'Official Summary'!G$3,'Phase I Pro Forma'!$D$152:$R$152)+SUMIF('Phase II Pro Forma'!$D$90:$R$90,'Official Summary'!G$3,'Phase II Pro Forma'!$D$152:$R$152)+SUMIF('Phase III Pro Forma'!$D$90:$R$90,'Official Summary'!G$3,'Phase III Pro Forma'!$D$152:$R$152))+(SUMIF('Phase I Pro Forma'!$D$90:$R$90,'Official Summary'!G$3,'Phase I Pro Forma'!$D$153:$R$153)+SUMIF('Phase II Pro Forma'!$D$90:$R$90,'Official Summary'!G$3,'Phase II Pro Forma'!$D$153:$R$153)+SUMIF('Phase III Pro Forma'!$D$90:$R$90,'Official Summary'!G$3,'Phase III Pro Forma'!$D$153:$R$153))</f>
        <v>0</v>
      </c>
      <c r="H29" s="356">
        <f ca="1">(SUMIF('Phase I Pro Forma'!$D$90:$R$90,'Official Summary'!H$3,'Phase I Pro Forma'!$D$152:$R$152)+SUMIF('Phase II Pro Forma'!$D$90:$R$90,'Official Summary'!H$3,'Phase II Pro Forma'!$D$152:$R$152)+SUMIF('Phase III Pro Forma'!$D$90:$R$90,'Official Summary'!H$3,'Phase III Pro Forma'!$D$152:$R$152))+(SUMIF('Phase I Pro Forma'!$D$90:$R$90,'Official Summary'!H$3,'Phase I Pro Forma'!$D$153:$R$153)+SUMIF('Phase II Pro Forma'!$D$90:$R$90,'Official Summary'!H$3,'Phase II Pro Forma'!$D$153:$R$153)+SUMIF('Phase III Pro Forma'!$D$90:$R$90,'Official Summary'!H$3,'Phase III Pro Forma'!$D$153:$R$153))</f>
        <v>7506496.7076851297</v>
      </c>
      <c r="I29" s="356">
        <f ca="1">(SUMIF('Phase I Pro Forma'!$D$90:$R$90,'Official Summary'!I$3,'Phase I Pro Forma'!$D$152:$R$152)+SUMIF('Phase II Pro Forma'!$D$90:$R$90,'Official Summary'!I$3,'Phase II Pro Forma'!$D$152:$R$152)+SUMIF('Phase III Pro Forma'!$D$90:$R$90,'Official Summary'!I$3,'Phase III Pro Forma'!$D$152:$R$152))+(SUMIF('Phase I Pro Forma'!$D$90:$R$90,'Official Summary'!I$3,'Phase I Pro Forma'!$D$153:$R$153)+SUMIF('Phase II Pro Forma'!$D$90:$R$90,'Official Summary'!I$3,'Phase II Pro Forma'!$D$153:$R$153)+SUMIF('Phase III Pro Forma'!$D$90:$R$90,'Official Summary'!I$3,'Phase III Pro Forma'!$D$153:$R$153))</f>
        <v>0</v>
      </c>
      <c r="J29" s="356">
        <f ca="1">(SUMIF('Phase I Pro Forma'!$D$90:$R$90,'Official Summary'!J$3,'Phase I Pro Forma'!$D$152:$R$152)+SUMIF('Phase II Pro Forma'!$D$90:$R$90,'Official Summary'!J$3,'Phase II Pro Forma'!$D$152:$R$152)+SUMIF('Phase III Pro Forma'!$D$90:$R$90,'Official Summary'!J$3,'Phase III Pro Forma'!$D$152:$R$152))+(SUMIF('Phase I Pro Forma'!$D$90:$R$90,'Official Summary'!J$3,'Phase I Pro Forma'!$D$153:$R$153)+SUMIF('Phase II Pro Forma'!$D$90:$R$90,'Official Summary'!J$3,'Phase II Pro Forma'!$D$153:$R$153)+SUMIF('Phase III Pro Forma'!$D$90:$R$90,'Official Summary'!J$3,'Phase III Pro Forma'!$D$153:$R$153))</f>
        <v>0</v>
      </c>
      <c r="K29" s="356">
        <f ca="1">(SUMIF('Phase I Pro Forma'!$D$90:$R$90,'Official Summary'!K$3,'Phase I Pro Forma'!$D$152:$R$152)+SUMIF('Phase II Pro Forma'!$D$90:$R$90,'Official Summary'!K$3,'Phase II Pro Forma'!$D$152:$R$152)+SUMIF('Phase III Pro Forma'!$D$90:$R$90,'Official Summary'!K$3,'Phase III Pro Forma'!$D$152:$R$152))+(SUMIF('Phase I Pro Forma'!$D$90:$R$90,'Official Summary'!K$3,'Phase I Pro Forma'!$D$153:$R$153)+SUMIF('Phase II Pro Forma'!$D$90:$R$90,'Official Summary'!K$3,'Phase II Pro Forma'!$D$153:$R$153)+SUMIF('Phase III Pro Forma'!$D$90:$R$90,'Official Summary'!K$3,'Phase III Pro Forma'!$D$153:$R$153))</f>
        <v>0</v>
      </c>
      <c r="L29" s="356">
        <f ca="1">(SUMIF('Phase I Pro Forma'!$D$90:$R$90,'Official Summary'!L$3,'Phase I Pro Forma'!$D$152:$R$152)+SUMIF('Phase II Pro Forma'!$D$90:$R$90,'Official Summary'!L$3,'Phase II Pro Forma'!$D$152:$R$152)+SUMIF('Phase III Pro Forma'!$D$90:$R$90,'Official Summary'!L$3,'Phase III Pro Forma'!$D$152:$R$152))+(SUMIF('Phase I Pro Forma'!$D$90:$R$90,'Official Summary'!L$3,'Phase I Pro Forma'!$D$153:$R$153)+SUMIF('Phase II Pro Forma'!$D$90:$R$90,'Official Summary'!L$3,'Phase II Pro Forma'!$D$153:$R$153)+SUMIF('Phase III Pro Forma'!$D$90:$R$90,'Official Summary'!L$3,'Phase III Pro Forma'!$D$153:$R$153))</f>
        <v>0</v>
      </c>
      <c r="M29" s="356">
        <f>(SUMIF('Phase I Pro Forma'!$D$90:$R$90,'Official Summary'!M$3,'Phase I Pro Forma'!$D$152:$R$152)+SUMIF('Phase II Pro Forma'!$D$90:$R$90,'Official Summary'!M$3,'Phase II Pro Forma'!$D$152:$R$152)+SUMIF('Phase III Pro Forma'!$D$90:$R$90,'Official Summary'!M$3,'Phase III Pro Forma'!$D$152:$R$152))+(SUMIF('Phase I Pro Forma'!$D$90:$R$90,'Official Summary'!M$3,'Phase I Pro Forma'!$D$153:$R$153)+SUMIF('Phase II Pro Forma'!$D$90:$R$90,'Official Summary'!M$3,'Phase II Pro Forma'!$D$153:$R$153)+SUMIF('Phase III Pro Forma'!$D$90:$R$90,'Official Summary'!M$3,'Phase III Pro Forma'!$D$153:$R$153))</f>
        <v>0</v>
      </c>
      <c r="N29" s="356">
        <f ca="1">(SUMIF('Phase I Pro Forma'!$D$90:$R$90,'Official Summary'!N$3,'Phase I Pro Forma'!$D$152:$R$152)+SUMIF('Phase II Pro Forma'!$D$90:$R$90,'Official Summary'!N$3,'Phase II Pro Forma'!$D$152:$R$152)+SUMIF('Phase III Pro Forma'!$D$90:$R$90,'Official Summary'!N$3,'Phase III Pro Forma'!$D$152:$R$152))+(SUMIF('Phase I Pro Forma'!$D$90:$R$90,'Official Summary'!N$3,'Phase I Pro Forma'!$D$153:$R$153)+SUMIF('Phase II Pro Forma'!$D$90:$R$90,'Official Summary'!N$3,'Phase II Pro Forma'!$D$153:$R$153)+SUMIF('Phase III Pro Forma'!$D$90:$R$90,'Official Summary'!N$3,'Phase III Pro Forma'!$D$153:$R$153))</f>
        <v>0</v>
      </c>
    </row>
    <row r="30" spans="1:14" ht="17.100000000000001" thickBot="1">
      <c r="B30" s="369" t="s">
        <v>26</v>
      </c>
      <c r="C30" s="370">
        <f ca="1">SUM(C27:C29)</f>
        <v>-40497008.290518522</v>
      </c>
      <c r="D30" s="370">
        <f t="shared" ref="D30:N30" ca="1" si="3">SUM(D27:D29)</f>
        <v>-34764970.350490451</v>
      </c>
      <c r="E30" s="370">
        <f t="shared" ca="1" si="3"/>
        <v>-133570069.11457761</v>
      </c>
      <c r="F30" s="370">
        <f t="shared" ca="1" si="3"/>
        <v>-161234454.65444702</v>
      </c>
      <c r="G30" s="370">
        <f t="shared" ca="1" si="3"/>
        <v>-168415729.47236171</v>
      </c>
      <c r="H30" s="370">
        <f t="shared" ca="1" si="3"/>
        <v>-157219250.67839631</v>
      </c>
      <c r="I30" s="370">
        <f t="shared" ca="1" si="3"/>
        <v>-91637609.169981703</v>
      </c>
      <c r="J30" s="370">
        <f t="shared" ca="1" si="3"/>
        <v>-75719983.820066273</v>
      </c>
      <c r="K30" s="370">
        <f t="shared" ca="1" si="3"/>
        <v>0</v>
      </c>
      <c r="L30" s="370">
        <f t="shared" ca="1" si="3"/>
        <v>0</v>
      </c>
      <c r="M30" s="370">
        <f t="shared" ca="1" si="3"/>
        <v>0</v>
      </c>
      <c r="N30" s="371">
        <f t="shared" ca="1" si="3"/>
        <v>0</v>
      </c>
    </row>
    <row r="31" spans="1:14">
      <c r="A31" s="358"/>
      <c r="B31" s="358"/>
      <c r="C31" s="352"/>
      <c r="D31" s="350"/>
      <c r="E31" s="350"/>
      <c r="F31" s="350"/>
      <c r="G31" s="350"/>
      <c r="H31" s="350"/>
      <c r="I31" s="350"/>
      <c r="J31" s="350"/>
      <c r="K31" s="350"/>
      <c r="L31" s="350"/>
      <c r="M31" s="350"/>
      <c r="N31" s="350"/>
    </row>
    <row r="32" spans="1:14">
      <c r="B32" s="404" t="s">
        <v>27</v>
      </c>
      <c r="C32" s="407"/>
      <c r="D32" s="408"/>
      <c r="E32" s="408"/>
      <c r="F32" s="408"/>
      <c r="G32" s="408"/>
      <c r="H32" s="408"/>
      <c r="I32" s="408"/>
      <c r="J32" s="408"/>
      <c r="K32" s="408"/>
      <c r="L32" s="481"/>
      <c r="M32" s="481"/>
      <c r="N32" s="408"/>
    </row>
    <row r="33" spans="1:14">
      <c r="A33" s="453" t="s">
        <v>28</v>
      </c>
      <c r="B33" s="453"/>
      <c r="C33" s="356">
        <v>0</v>
      </c>
      <c r="D33" s="356">
        <f ca="1">D12</f>
        <v>-3468155.0134373284</v>
      </c>
      <c r="E33" s="356">
        <f ca="1">E12</f>
        <v>-3468155.0134373284</v>
      </c>
      <c r="F33" s="356">
        <f ca="1">F12</f>
        <v>5946240.0743228365</v>
      </c>
      <c r="G33" s="356">
        <f ca="1">G12</f>
        <v>13865674.708767343</v>
      </c>
      <c r="H33" s="356">
        <f ca="1">H12</f>
        <v>27923045.384422131</v>
      </c>
      <c r="I33" s="356">
        <f ca="1">I12</f>
        <v>39941885.110520788</v>
      </c>
      <c r="J33" s="356">
        <f ca="1">J12</f>
        <v>56097990.787149154</v>
      </c>
      <c r="K33" s="356">
        <f ca="1">K12</f>
        <v>60536397.425096512</v>
      </c>
      <c r="L33" s="438">
        <f ca="1">L12</f>
        <v>62276578.80380962</v>
      </c>
      <c r="M33" s="438"/>
      <c r="N33" s="356">
        <v>0</v>
      </c>
    </row>
    <row r="34" spans="1:14">
      <c r="A34" s="355"/>
      <c r="B34" s="355" t="s">
        <v>29</v>
      </c>
      <c r="C34" s="356">
        <f>(SUMIF('Phase I Pro Forma'!$D$90:$R$90,'Official Summary'!C$3,'Phase I Pro Forma'!$D$134:$R$134)+SUMIF('Phase II Pro Forma'!$D$90:$R$90,'Official Summary'!C$3,'Phase II Pro Forma'!$D$134:$R$134)+SUMIF('Phase III Pro Forma'!$D$90:$R$90,'Official Summary'!C$3,'Phase III Pro Forma'!$D$134:$R$134))</f>
        <v>0</v>
      </c>
      <c r="D34" s="356">
        <f>(SUMIF('Phase I Pro Forma'!$D$90:$R$90,'Official Summary'!D$3,'Phase I Pro Forma'!$D$134:$R$134)+SUMIF('Phase II Pro Forma'!$D$90:$R$90,'Official Summary'!D$3,'Phase II Pro Forma'!$D$134:$R$134)+SUMIF('Phase III Pro Forma'!$D$90:$R$90,'Official Summary'!D$3,'Phase III Pro Forma'!$D$134:$R$134))</f>
        <v>0</v>
      </c>
      <c r="E34" s="356">
        <f>(SUMIF('Phase I Pro Forma'!$D$90:$R$90,'Official Summary'!E$3,'Phase I Pro Forma'!$D$134:$R$134)+SUMIF('Phase II Pro Forma'!$D$90:$R$90,'Official Summary'!E$3,'Phase II Pro Forma'!$D$134:$R$134)+SUMIF('Phase III Pro Forma'!$D$90:$R$90,'Official Summary'!E$3,'Phase III Pro Forma'!$D$134:$R$134))</f>
        <v>0</v>
      </c>
      <c r="F34" s="356">
        <f>(SUMIF('Phase I Pro Forma'!$D$90:$R$90,'Official Summary'!F$3,'Phase I Pro Forma'!$D$134:$R$134)+SUMIF('Phase II Pro Forma'!$D$90:$R$90,'Official Summary'!F$3,'Phase II Pro Forma'!$D$134:$R$134)+SUMIF('Phase III Pro Forma'!$D$90:$R$90,'Official Summary'!F$3,'Phase III Pro Forma'!$D$134:$R$134))</f>
        <v>0</v>
      </c>
      <c r="G34" s="356">
        <f>(SUMIF('Phase I Pro Forma'!$D$90:$R$90,'Official Summary'!G$3,'Phase I Pro Forma'!$D$134:$R$134)+SUMIF('Phase II Pro Forma'!$D$90:$R$90,'Official Summary'!G$3,'Phase II Pro Forma'!$D$134:$R$134)+SUMIF('Phase III Pro Forma'!$D$90:$R$90,'Official Summary'!G$3,'Phase III Pro Forma'!$D$134:$R$134))</f>
        <v>0</v>
      </c>
      <c r="H34" s="356">
        <f>(SUMIF('Phase I Pro Forma'!$D$90:$R$90,'Official Summary'!H$3,'Phase I Pro Forma'!$D$134:$R$134)+SUMIF('Phase II Pro Forma'!$D$90:$R$90,'Official Summary'!H$3,'Phase II Pro Forma'!$D$134:$R$134)+SUMIF('Phase III Pro Forma'!$D$90:$R$90,'Official Summary'!H$3,'Phase III Pro Forma'!$D$134:$R$134))</f>
        <v>0</v>
      </c>
      <c r="I34" s="356">
        <f ca="1">(SUMIF('Phase I Pro Forma'!$D$90:$R$90,'Official Summary'!I$3,'Phase I Pro Forma'!$D$134:$R$134)+SUMIF('Phase II Pro Forma'!$D$90:$R$90,'Official Summary'!I$3,'Phase II Pro Forma'!$D$134:$R$134)+SUMIF('Phase III Pro Forma'!$D$90:$R$90,'Official Summary'!I$3,'Phase III Pro Forma'!$D$134:$R$134))</f>
        <v>388373203.34015834</v>
      </c>
      <c r="J34" s="356">
        <f>(SUMIF('Phase I Pro Forma'!$D$90:$R$90,'Official Summary'!J$3,'Phase I Pro Forma'!$D$134:$R$134)+SUMIF('Phase II Pro Forma'!$D$90:$R$90,'Official Summary'!J$3,'Phase II Pro Forma'!$D$134:$R$134)+SUMIF('Phase III Pro Forma'!$D$90:$R$90,'Official Summary'!J$3,'Phase III Pro Forma'!$D$134:$R$134))</f>
        <v>0</v>
      </c>
      <c r="K34" s="356">
        <f ca="1">(SUMIF('Phase I Pro Forma'!$D$90:$R$90,'Official Summary'!K$3,'Phase I Pro Forma'!$D$134:$R$134)+SUMIF('Phase II Pro Forma'!$D$90:$R$90,'Official Summary'!K$3,'Phase II Pro Forma'!$D$134:$R$134)+SUMIF('Phase III Pro Forma'!$D$90:$R$90,'Official Summary'!K$3,'Phase III Pro Forma'!$D$134:$R$134))</f>
        <v>534650307.94155371</v>
      </c>
      <c r="L34" s="438">
        <f ca="1">(SUMIF('Phase I Pro Forma'!$D$90:$R$90,'Official Summary'!L$3,'Phase I Pro Forma'!$D$134:$R$134)+SUMIF('Phase II Pro Forma'!$D$90:$R$90,'Official Summary'!L$3,'Phase II Pro Forma'!$D$134:$R$134)+SUMIF('Phase III Pro Forma'!$D$90:$R$90,'Official Summary'!L$3,'Phase III Pro Forma'!$D$134:$R$134))</f>
        <v>343670573.50679797</v>
      </c>
      <c r="M34" s="438"/>
      <c r="N34" s="356">
        <f>(SUMIF('Phase I Pro Forma'!$D$90:$R$90,'Official Summary'!N$3,'Phase I Pro Forma'!$D$134:$R$134)+SUMIF('Phase II Pro Forma'!$D$90:$R$90,'Official Summary'!N$3,'Phase II Pro Forma'!$D$134:$R$134)+SUMIF('Phase III Pro Forma'!$D$90:$R$90,'Official Summary'!N$3,'Phase III Pro Forma'!$D$134:$R$134))</f>
        <v>0</v>
      </c>
    </row>
    <row r="35" spans="1:14">
      <c r="A35" s="453" t="s">
        <v>30</v>
      </c>
      <c r="B35" s="453"/>
      <c r="C35" s="356">
        <f>(SUMIF('Phase I Pro Forma'!$D$90:$R$90,'Official Summary'!C$3,'Phase I Pro Forma'!$D$135:$R$135)+SUMIF('Phase II Pro Forma'!$D$90:$R$90,'Official Summary'!C$3,'Phase II Pro Forma'!$D$135:$R$135)+SUMIF('Phase III Pro Forma'!$D$90:$R$90,'Official Summary'!C$3,'Phase III Pro Forma'!$D$135:$R$135))</f>
        <v>0</v>
      </c>
      <c r="D35" s="356">
        <f>(SUMIF('Phase I Pro Forma'!$D$90:$R$90,'Official Summary'!D$3,'Phase I Pro Forma'!$D$135:$R$135)+SUMIF('Phase II Pro Forma'!$D$90:$R$90,'Official Summary'!D$3,'Phase II Pro Forma'!$D$135:$R$135)+SUMIF('Phase III Pro Forma'!$D$90:$R$90,'Official Summary'!D$3,'Phase III Pro Forma'!$D$135:$R$135))</f>
        <v>0</v>
      </c>
      <c r="E35" s="356">
        <f>(SUMIF('Phase I Pro Forma'!$D$90:$R$90,'Official Summary'!E$3,'Phase I Pro Forma'!$D$135:$R$135)+SUMIF('Phase II Pro Forma'!$D$90:$R$90,'Official Summary'!E$3,'Phase II Pro Forma'!$D$135:$R$135)+SUMIF('Phase III Pro Forma'!$D$90:$R$90,'Official Summary'!E$3,'Phase III Pro Forma'!$D$135:$R$135))</f>
        <v>0</v>
      </c>
      <c r="F35" s="356">
        <f>(SUMIF('Phase I Pro Forma'!$D$90:$R$90,'Official Summary'!F$3,'Phase I Pro Forma'!$D$135:$R$135)+SUMIF('Phase II Pro Forma'!$D$90:$R$90,'Official Summary'!F$3,'Phase II Pro Forma'!$D$135:$R$135)+SUMIF('Phase III Pro Forma'!$D$90:$R$90,'Official Summary'!F$3,'Phase III Pro Forma'!$D$135:$R$135))</f>
        <v>0</v>
      </c>
      <c r="G35" s="356">
        <f>(SUMIF('Phase I Pro Forma'!$D$90:$R$90,'Official Summary'!G$3,'Phase I Pro Forma'!$D$135:$R$135)+SUMIF('Phase II Pro Forma'!$D$90:$R$90,'Official Summary'!G$3,'Phase II Pro Forma'!$D$135:$R$135)+SUMIF('Phase III Pro Forma'!$D$90:$R$90,'Official Summary'!G$3,'Phase III Pro Forma'!$D$135:$R$135))</f>
        <v>0</v>
      </c>
      <c r="H35" s="356">
        <f>(SUMIF('Phase I Pro Forma'!$D$90:$R$90,'Official Summary'!H$3,'Phase I Pro Forma'!$D$135:$R$135)+SUMIF('Phase II Pro Forma'!$D$90:$R$90,'Official Summary'!H$3,'Phase II Pro Forma'!$D$135:$R$135)+SUMIF('Phase III Pro Forma'!$D$90:$R$90,'Official Summary'!H$3,'Phase III Pro Forma'!$D$135:$R$135))</f>
        <v>0</v>
      </c>
      <c r="I35" s="356">
        <f ca="1">(SUMIF('Phase I Pro Forma'!$D$90:$R$90,'Official Summary'!I$3,'Phase I Pro Forma'!$D$135:$R$135)+SUMIF('Phase II Pro Forma'!$D$90:$R$90,'Official Summary'!I$3,'Phase II Pro Forma'!$D$135:$R$135)+SUMIF('Phase III Pro Forma'!$D$90:$R$90,'Official Summary'!I$3,'Phase III Pro Forma'!$D$135:$R$135))</f>
        <v>-7767464.0668031666</v>
      </c>
      <c r="J35" s="356">
        <f>(SUMIF('Phase I Pro Forma'!$D$90:$R$90,'Official Summary'!J$3,'Phase I Pro Forma'!$D$135:$R$135)+SUMIF('Phase II Pro Forma'!$D$90:$R$90,'Official Summary'!J$3,'Phase II Pro Forma'!$D$135:$R$135)+SUMIF('Phase III Pro Forma'!$D$90:$R$90,'Official Summary'!J$3,'Phase III Pro Forma'!$D$135:$R$135))</f>
        <v>0</v>
      </c>
      <c r="K35" s="356">
        <f ca="1">(SUMIF('Phase I Pro Forma'!$D$90:$R$90,'Official Summary'!K$3,'Phase I Pro Forma'!$D$135:$R$135)+SUMIF('Phase II Pro Forma'!$D$90:$R$90,'Official Summary'!K$3,'Phase II Pro Forma'!$D$135:$R$135)+SUMIF('Phase III Pro Forma'!$D$90:$R$90,'Official Summary'!K$3,'Phase III Pro Forma'!$D$135:$R$135))</f>
        <v>-10693006.158831075</v>
      </c>
      <c r="L35" s="438">
        <f ca="1">(SUMIF('Phase I Pro Forma'!$D$90:$R$90,'Official Summary'!L$3,'Phase I Pro Forma'!$D$135:$R$135)+SUMIF('Phase II Pro Forma'!$D$90:$R$90,'Official Summary'!L$3,'Phase II Pro Forma'!$D$135:$R$135)+SUMIF('Phase III Pro Forma'!$D$90:$R$90,'Official Summary'!L$3,'Phase III Pro Forma'!$D$135:$R$135))</f>
        <v>-6873411.4701359598</v>
      </c>
      <c r="M35" s="438"/>
      <c r="N35" s="356">
        <f>(SUMIF('Phase I Pro Forma'!$D$90:$R$90,'Official Summary'!N$3,'Phase I Pro Forma'!$D$135:$R$135)+SUMIF('Phase II Pro Forma'!$D$90:$R$90,'Official Summary'!N$3,'Phase II Pro Forma'!$D$135:$R$135)+SUMIF('Phase III Pro Forma'!$D$90:$R$90,'Official Summary'!N$3,'Phase III Pro Forma'!$D$135:$R$135))</f>
        <v>0</v>
      </c>
    </row>
    <row r="36" spans="1:14" ht="17.100000000000001" thickBot="1">
      <c r="A36" s="453" t="s">
        <v>26</v>
      </c>
      <c r="B36" s="453"/>
      <c r="C36" s="357">
        <f ca="1">C30</f>
        <v>-40497008.290518522</v>
      </c>
      <c r="D36" s="357">
        <f ca="1">D30</f>
        <v>-34764970.350490451</v>
      </c>
      <c r="E36" s="357">
        <f t="shared" ref="E36:N36" ca="1" si="4">E30</f>
        <v>-133570069.11457761</v>
      </c>
      <c r="F36" s="357">
        <f t="shared" ca="1" si="4"/>
        <v>-161234454.65444702</v>
      </c>
      <c r="G36" s="357">
        <f t="shared" ca="1" si="4"/>
        <v>-168415729.47236171</v>
      </c>
      <c r="H36" s="357">
        <f t="shared" ca="1" si="4"/>
        <v>-157219250.67839631</v>
      </c>
      <c r="I36" s="357">
        <f t="shared" ca="1" si="4"/>
        <v>-91637609.169981703</v>
      </c>
      <c r="J36" s="357">
        <f t="shared" ca="1" si="4"/>
        <v>-75719983.820066273</v>
      </c>
      <c r="K36" s="356">
        <f t="shared" ca="1" si="4"/>
        <v>0</v>
      </c>
      <c r="L36" s="438">
        <f t="shared" ca="1" si="4"/>
        <v>0</v>
      </c>
      <c r="M36" s="438"/>
      <c r="N36" s="356">
        <f t="shared" ca="1" si="4"/>
        <v>0</v>
      </c>
    </row>
    <row r="37" spans="1:14" ht="17.100000000000001" thickBot="1">
      <c r="A37" s="358"/>
      <c r="B37" s="373" t="s">
        <v>31</v>
      </c>
      <c r="C37" s="370">
        <f ca="1">SUM(C33:C36)</f>
        <v>-40497008.290518522</v>
      </c>
      <c r="D37" s="370">
        <f t="shared" ref="D37:N37" ca="1" si="5">SUM(D33:D36)</f>
        <v>-38233125.363927782</v>
      </c>
      <c r="E37" s="370">
        <f t="shared" ca="1" si="5"/>
        <v>-137038224.12801492</v>
      </c>
      <c r="F37" s="370">
        <f t="shared" ca="1" si="5"/>
        <v>-155288214.58012417</v>
      </c>
      <c r="G37" s="370">
        <f t="shared" ca="1" si="5"/>
        <v>-154550054.76359436</v>
      </c>
      <c r="H37" s="370">
        <f t="shared" ca="1" si="5"/>
        <v>-129296205.29397419</v>
      </c>
      <c r="I37" s="370">
        <f t="shared" ca="1" si="5"/>
        <v>328910015.21389425</v>
      </c>
      <c r="J37" s="370">
        <f t="shared" ca="1" si="5"/>
        <v>-19621993.03291712</v>
      </c>
      <c r="K37" s="370">
        <f t="shared" ca="1" si="5"/>
        <v>584493699.2078191</v>
      </c>
      <c r="L37" s="469">
        <f t="shared" ca="1" si="5"/>
        <v>399073740.84047163</v>
      </c>
      <c r="M37" s="469"/>
      <c r="N37" s="371">
        <f t="shared" ca="1" si="5"/>
        <v>0</v>
      </c>
    </row>
    <row r="38" spans="1:14">
      <c r="B38" s="358" t="s">
        <v>32</v>
      </c>
      <c r="C38" s="352"/>
      <c r="D38" s="350"/>
      <c r="E38" s="350"/>
      <c r="F38" s="350"/>
      <c r="G38" s="350"/>
      <c r="H38" s="350"/>
      <c r="I38" s="350"/>
      <c r="J38" s="350"/>
      <c r="K38" s="350"/>
      <c r="L38" s="350"/>
      <c r="M38" s="350"/>
      <c r="N38" s="350"/>
    </row>
    <row r="39" spans="1:14">
      <c r="B39" s="358" t="s">
        <v>33</v>
      </c>
      <c r="C39" s="356">
        <f>(SUMIF('Phase I Pro Forma'!$D$90:$R$90,'Official Summary'!C$3,'Phase I Pro Forma'!$D$145:$R$145)+SUMIF('Phase II Pro Forma'!$D$90:$R$90,'Official Summary'!C$3,'Phase II Pro Forma'!$D$145:$R$145)+SUMIF('Phase III Pro Forma'!$D$90:$R$90,'Official Summary'!C$3,'Phase III Pro Forma'!$D$145:$R$145))</f>
        <v>0</v>
      </c>
      <c r="D39" s="356">
        <f ca="1">(SUMIF('Phase I Pro Forma'!$D$90:$R$90,'Official Summary'!D$3,'Phase I Pro Forma'!$D$145:$R$145)+SUMIF('Phase II Pro Forma'!$D$90:$R$90,'Official Summary'!D$3,'Phase II Pro Forma'!$D$145:$R$145)+SUMIF('Phase III Pro Forma'!$D$90:$R$90,'Official Summary'!D$3,'Phase III Pro Forma'!$D$145:$R$145))</f>
        <v>-8354821.230964493</v>
      </c>
      <c r="E39" s="356">
        <f ca="1">(SUMIF('Phase I Pro Forma'!$D$90:$R$90,'Official Summary'!E$3,'Phase I Pro Forma'!$D$145:$R$145)+SUMIF('Phase II Pro Forma'!$D$90:$R$90,'Official Summary'!E$3,'Phase II Pro Forma'!$D$145:$R$145)+SUMIF('Phase III Pro Forma'!$D$90:$R$90,'Official Summary'!E$3,'Phase III Pro Forma'!$D$145:$R$145))</f>
        <v>-8354821.230964493</v>
      </c>
      <c r="F39" s="356">
        <f ca="1">(SUMIF('Phase I Pro Forma'!$D$90:$R$90,'Official Summary'!F$3,'Phase I Pro Forma'!$D$145:$R$145)+SUMIF('Phase II Pro Forma'!$D$90:$R$90,'Official Summary'!F$3,'Phase II Pro Forma'!$D$145:$R$145)+SUMIF('Phase III Pro Forma'!$D$90:$R$90,'Official Summary'!F$3,'Phase III Pro Forma'!$D$145:$R$145))</f>
        <v>-17668809.949082095</v>
      </c>
      <c r="G39" s="356">
        <f ca="1">(SUMIF('Phase I Pro Forma'!$D$90:$R$90,'Official Summary'!G$3,'Phase I Pro Forma'!$D$145:$R$145)+SUMIF('Phase II Pro Forma'!$D$90:$R$90,'Official Summary'!G$3,'Phase II Pro Forma'!$D$145:$R$145)+SUMIF('Phase III Pro Forma'!$D$90:$R$90,'Official Summary'!G$3,'Phase III Pro Forma'!$D$145:$R$145))</f>
        <v>-9313988.7181176022</v>
      </c>
      <c r="H39" s="356">
        <f ca="1">(SUMIF('Phase I Pro Forma'!$D$90:$R$90,'Official Summary'!H$3,'Phase I Pro Forma'!$D$145:$R$145)+SUMIF('Phase II Pro Forma'!$D$90:$R$90,'Official Summary'!H$3,'Phase II Pro Forma'!$D$145:$R$145)+SUMIF('Phase III Pro Forma'!$D$90:$R$90,'Official Summary'!H$3,'Phase III Pro Forma'!$D$145:$R$145))</f>
        <v>-15563946.368569579</v>
      </c>
      <c r="I39" s="356">
        <f ca="1">(SUMIF('Phase I Pro Forma'!$D$90:$R$90,'Official Summary'!I$3,'Phase I Pro Forma'!$D$145:$R$145)+SUMIF('Phase II Pro Forma'!$D$90:$R$90,'Official Summary'!I$3,'Phase II Pro Forma'!$D$145:$R$145)+SUMIF('Phase III Pro Forma'!$D$90:$R$90,'Official Summary'!I$3,'Phase III Pro Forma'!$D$145:$R$145))</f>
        <v>-6249957.6504519777</v>
      </c>
      <c r="J39" s="356">
        <f ca="1">(SUMIF('Phase I Pro Forma'!$D$90:$R$90,'Official Summary'!J$3,'Phase I Pro Forma'!$D$145:$R$145)+SUMIF('Phase II Pro Forma'!$D$90:$R$90,'Official Summary'!J$3,'Phase II Pro Forma'!$D$145:$R$145)+SUMIF('Phase III Pro Forma'!$D$90:$R$90,'Official Summary'!J$3,'Phase III Pro Forma'!$D$145:$R$145))</f>
        <v>-6249957.6504519777</v>
      </c>
      <c r="K39" s="356">
        <f>(SUMIF('Phase I Pro Forma'!$D$90:$R$90,'Official Summary'!K$3,'Phase I Pro Forma'!$D$145:$R$145)+SUMIF('Phase II Pro Forma'!$D$90:$R$90,'Official Summary'!K$3,'Phase II Pro Forma'!$D$145:$R$145)+SUMIF('Phase III Pro Forma'!$D$90:$R$90,'Official Summary'!K$3,'Phase III Pro Forma'!$D$145:$R$145))</f>
        <v>0</v>
      </c>
      <c r="L39" s="356">
        <f>(SUMIF('Phase I Pro Forma'!$D$90:$R$90,'Official Summary'!L$3,'Phase I Pro Forma'!$D$145:$R$145)+SUMIF('Phase II Pro Forma'!$D$90:$R$90,'Official Summary'!L$3,'Phase II Pro Forma'!$D$145:$R$145)+SUMIF('Phase III Pro Forma'!$D$90:$R$90,'Official Summary'!L$3,'Phase III Pro Forma'!$D$145:$R$145))</f>
        <v>0</v>
      </c>
      <c r="M39" s="356">
        <f>(SUMIF('Phase I Pro Forma'!$D$90:$R$90,'Official Summary'!M$3,'Phase I Pro Forma'!$D$145:$R$145)+SUMIF('Phase II Pro Forma'!$D$90:$R$90,'Official Summary'!M$3,'Phase II Pro Forma'!$D$145:$R$145)+SUMIF('Phase III Pro Forma'!$D$90:$R$90,'Official Summary'!M$3,'Phase III Pro Forma'!$D$145:$R$145))</f>
        <v>0</v>
      </c>
      <c r="N39" s="356">
        <f>(SUMIF('Phase I Pro Forma'!$D$90:$R$90,'Official Summary'!N$3,'Phase I Pro Forma'!$D$145:$R$145)+SUMIF('Phase II Pro Forma'!$D$90:$R$90,'Official Summary'!N$3,'Phase II Pro Forma'!$D$145:$R$145)+SUMIF('Phase III Pro Forma'!$D$90:$R$90,'Official Summary'!N$3,'Phase III Pro Forma'!$D$145:$R$145))</f>
        <v>0</v>
      </c>
    </row>
    <row r="40" spans="1:14">
      <c r="B40" s="358" t="s">
        <v>34</v>
      </c>
      <c r="C40" s="356">
        <f ca="1">(SUMIF('Phase I Pro Forma'!$D$90:$R$90,'Official Summary'!C$3,'Phase I Pro Forma'!$D$158:$R$158)+SUMIF('Phase II Pro Forma'!$D$90:$R$90,'Official Summary'!C$3,'Phase II Pro Forma'!$D$158:$R$158)+SUMIF('Phase III Pro Forma'!$D$90:$R$90,'Official Summary'!C$3,'Phase III Pro Forma'!$D$158:$R$158))</f>
        <v>0</v>
      </c>
      <c r="D40" s="356">
        <f ca="1">(SUMIF('Phase I Pro Forma'!$D$90:$R$90,'Official Summary'!D$3,'Phase I Pro Forma'!$D$158:$R$158)+SUMIF('Phase II Pro Forma'!$D$90:$R$90,'Official Summary'!D$3,'Phase II Pro Forma'!$D$158:$R$158)+SUMIF('Phase III Pro Forma'!$D$90:$R$90,'Official Summary'!D$3,'Phase III Pro Forma'!$D$158:$R$158))</f>
        <v>46587946.594892278</v>
      </c>
      <c r="E40" s="356">
        <f ca="1">(SUMIF('Phase I Pro Forma'!$D$90:$R$90,'Official Summary'!E$3,'Phase I Pro Forma'!$D$158:$R$158)+SUMIF('Phase II Pro Forma'!$D$90:$R$90,'Official Summary'!E$3,'Phase II Pro Forma'!$D$158:$R$158)+SUMIF('Phase III Pro Forma'!$D$90:$R$90,'Official Summary'!E$3,'Phase III Pro Forma'!$D$158:$R$158))</f>
        <v>127428143.35897943</v>
      </c>
      <c r="F40" s="356">
        <f ca="1">(SUMIF('Phase I Pro Forma'!$D$90:$R$90,'Official Summary'!F$3,'Phase I Pro Forma'!$D$158:$R$158)+SUMIF('Phase II Pro Forma'!$D$90:$R$90,'Official Summary'!F$3,'Phase II Pro Forma'!$D$158:$R$158)+SUMIF('Phase III Pro Forma'!$D$90:$R$90,'Official Summary'!F$3,'Phase III Pro Forma'!$D$158:$R$158))</f>
        <v>139199028.0100328</v>
      </c>
      <c r="G40" s="356">
        <f ca="1">(SUMIF('Phase I Pro Forma'!$D$90:$R$90,'Official Summary'!G$3,'Phase I Pro Forma'!$D$158:$R$158)+SUMIF('Phase II Pro Forma'!$D$90:$R$90,'Official Summary'!G$3,'Phase II Pro Forma'!$D$158:$R$158)+SUMIF('Phase III Pro Forma'!$D$90:$R$90,'Official Summary'!G$3,'Phase III Pro Forma'!$D$158:$R$158))</f>
        <v>156588802.88465017</v>
      </c>
      <c r="H40" s="356">
        <f ca="1">(SUMIF('Phase I Pro Forma'!$D$90:$R$90,'Official Summary'!H$3,'Phase I Pro Forma'!$D$158:$R$158)+SUMIF('Phase II Pro Forma'!$D$90:$R$90,'Official Summary'!H$3,'Phase II Pro Forma'!$D$158:$R$158)+SUMIF('Phase III Pro Forma'!$D$90:$R$90,'Official Summary'!H$3,'Phase III Pro Forma'!$D$158:$R$158))</f>
        <v>159953698.47166175</v>
      </c>
      <c r="I40" s="356">
        <f ca="1">(SUMIF('Phase I Pro Forma'!$D$90:$R$90,'Official Summary'!I$3,'Phase I Pro Forma'!$D$158:$R$158)+SUMIF('Phase II Pro Forma'!$D$90:$R$90,'Official Summary'!I$3,'Phase II Pro Forma'!$D$158:$R$158)+SUMIF('Phase III Pro Forma'!$D$90:$R$90,'Official Summary'!I$3,'Phase III Pro Forma'!$D$158:$R$158))</f>
        <v>100636695.09553313</v>
      </c>
      <c r="J40" s="356">
        <f ca="1">(SUMIF('Phase I Pro Forma'!$D$90:$R$90,'Official Summary'!J$3,'Phase I Pro Forma'!$D$158:$R$158)+SUMIF('Phase II Pro Forma'!$D$90:$R$90,'Official Summary'!J$3,'Phase II Pro Forma'!$D$158:$R$158)+SUMIF('Phase III Pro Forma'!$D$90:$R$90,'Official Summary'!J$3,'Phase III Pro Forma'!$D$158:$R$158))</f>
        <v>84719069.745617703</v>
      </c>
      <c r="K40" s="356">
        <f ca="1">(SUMIF('Phase I Pro Forma'!$D$90:$R$90,'Official Summary'!K$3,'Phase I Pro Forma'!$D$158:$R$158)+SUMIF('Phase II Pro Forma'!$D$90:$R$90,'Official Summary'!K$3,'Phase II Pro Forma'!$D$158:$R$158)+SUMIF('Phase III Pro Forma'!$D$90:$R$90,'Official Summary'!K$3,'Phase III Pro Forma'!$D$158:$R$158))</f>
        <v>0</v>
      </c>
      <c r="L40" s="356">
        <f ca="1">(SUMIF('Phase I Pro Forma'!$D$90:$R$90,'Official Summary'!L$3,'Phase I Pro Forma'!$D$158:$R$158)+SUMIF('Phase II Pro Forma'!$D$90:$R$90,'Official Summary'!L$3,'Phase II Pro Forma'!$D$158:$R$158)+SUMIF('Phase III Pro Forma'!$D$90:$R$90,'Official Summary'!L$3,'Phase III Pro Forma'!$D$158:$R$158))</f>
        <v>0</v>
      </c>
      <c r="M40" s="356">
        <f>(SUMIF('Phase I Pro Forma'!$D$90:$R$90,'Official Summary'!M$3,'Phase I Pro Forma'!$D$158:$R$158)+SUMIF('Phase II Pro Forma'!$D$90:$R$90,'Official Summary'!M$3,'Phase II Pro Forma'!$D$158:$R$158)+SUMIF('Phase III Pro Forma'!$D$90:$R$90,'Official Summary'!M$3,'Phase III Pro Forma'!$D$158:$R$158))</f>
        <v>0</v>
      </c>
      <c r="N40" s="356">
        <f ca="1">(SUMIF('Phase I Pro Forma'!$D$90:$R$90,'Official Summary'!N$3,'Phase I Pro Forma'!$D$158:$R$158)+SUMIF('Phase II Pro Forma'!$D$90:$R$90,'Official Summary'!N$3,'Phase II Pro Forma'!$D$158:$R$158)+SUMIF('Phase III Pro Forma'!$D$90:$R$90,'Official Summary'!N$3,'Phase III Pro Forma'!$D$158:$R$158))</f>
        <v>0</v>
      </c>
    </row>
    <row r="41" spans="1:14">
      <c r="A41" s="358"/>
      <c r="B41" s="358" t="s">
        <v>35</v>
      </c>
      <c r="C41" s="356">
        <f ca="1">-(SUMIF('Phase I Pro Forma'!$D$90:$R$90,'Official Summary'!C$3,'Phase I Pro Forma'!$D$124:$R$124)+SUMIF('Phase II Pro Forma'!$D$90:$R$90,'Official Summary'!C$3,'Phase II Pro Forma'!$D$124:$R$124)+SUMIF('Phase III Pro Forma'!$D$90:$R$90,'Official Summary'!C$3,'Phase III Pro Forma'!$D$124:$R$124))</f>
        <v>0</v>
      </c>
      <c r="D41" s="356">
        <f ca="1">-(SUMIF('Phase I Pro Forma'!$D$90:$R$90,'Official Summary'!D$3,'Phase I Pro Forma'!$D$124:$R$124)+SUMIF('Phase II Pro Forma'!$D$90:$R$90,'Official Summary'!D$3,'Phase II Pro Forma'!$D$124:$R$124)+SUMIF('Phase III Pro Forma'!$D$90:$R$90,'Official Summary'!D$3,'Phase III Pro Forma'!$D$124:$R$124))</f>
        <v>-863894.41446947528</v>
      </c>
      <c r="E41" s="356">
        <f ca="1">-(SUMIF('Phase I Pro Forma'!$D$90:$R$90,'Official Summary'!E$3,'Phase I Pro Forma'!$D$124:$R$124)+SUMIF('Phase II Pro Forma'!$D$90:$R$90,'Official Summary'!E$3,'Phase II Pro Forma'!$D$124:$R$124)+SUMIF('Phase III Pro Forma'!$D$90:$R$90,'Official Summary'!E$3,'Phase III Pro Forma'!$D$124:$R$124))</f>
        <v>-5168208.2771285456</v>
      </c>
      <c r="F41" s="356">
        <f ca="1">-(SUMIF('Phase I Pro Forma'!$D$90:$R$90,'Official Summary'!F$3,'Phase I Pro Forma'!$D$124:$R$124)+SUMIF('Phase II Pro Forma'!$D$90:$R$90,'Official Summary'!F$3,'Phase II Pro Forma'!$D$124:$R$124)+SUMIF('Phase III Pro Forma'!$D$90:$R$90,'Official Summary'!F$3,'Phase III Pro Forma'!$D$124:$R$124))</f>
        <v>-12947983.038271967</v>
      </c>
      <c r="G41" s="356">
        <f ca="1">-(SUMIF('Phase I Pro Forma'!$D$90:$R$90,'Official Summary'!G$3,'Phase I Pro Forma'!$D$124:$R$124)+SUMIF('Phase II Pro Forma'!$D$90:$R$90,'Official Summary'!G$3,'Phase II Pro Forma'!$D$124:$R$124)+SUMIF('Phase III Pro Forma'!$D$90:$R$90,'Official Summary'!G$3,'Phase III Pro Forma'!$D$124:$R$124))</f>
        <v>-21408183.875007633</v>
      </c>
      <c r="H41" s="356">
        <f ca="1">-(SUMIF('Phase I Pro Forma'!$D$90:$R$90,'Official Summary'!H$3,'Phase I Pro Forma'!$D$124:$R$124)+SUMIF('Phase II Pro Forma'!$D$90:$R$90,'Official Summary'!H$3,'Phase II Pro Forma'!$D$124:$R$124)+SUMIF('Phase III Pro Forma'!$D$90:$R$90,'Official Summary'!H$3,'Phase III Pro Forma'!$D$124:$R$124))</f>
        <v>-30642546.734843519</v>
      </c>
      <c r="I41" s="356">
        <f ca="1">-(SUMIF('Phase I Pro Forma'!$D$90:$R$90,'Official Summary'!I$3,'Phase I Pro Forma'!$D$124:$R$124)+SUMIF('Phase II Pro Forma'!$D$90:$R$90,'Official Summary'!I$3,'Phase II Pro Forma'!$D$124:$R$124)+SUMIF('Phase III Pro Forma'!$D$90:$R$90,'Official Summary'!I$3,'Phase III Pro Forma'!$D$124:$R$124))</f>
        <v>-38708736.958381876</v>
      </c>
      <c r="J41" s="356">
        <f ca="1">-(SUMIF('Phase I Pro Forma'!$D$90:$R$90,'Official Summary'!J$3,'Phase I Pro Forma'!$D$124:$R$124)+SUMIF('Phase II Pro Forma'!$D$90:$R$90,'Official Summary'!J$3,'Phase II Pro Forma'!$D$124:$R$124)+SUMIF('Phase III Pro Forma'!$D$90:$R$90,'Official Summary'!J$3,'Phase III Pro Forma'!$D$124:$R$124))</f>
        <v>-27736849.589757577</v>
      </c>
      <c r="K41" s="356">
        <f ca="1">-(SUMIF('Phase I Pro Forma'!$D$90:$R$90,'Official Summary'!K$3,'Phase I Pro Forma'!$D$124:$R$124)+SUMIF('Phase II Pro Forma'!$D$90:$R$90,'Official Summary'!K$3,'Phase II Pro Forma'!$D$124:$R$124)+SUMIF('Phase III Pro Forma'!$D$90:$R$90,'Official Summary'!K$3,'Phase III Pro Forma'!$D$124:$R$124))</f>
        <v>-30890877.360024814</v>
      </c>
      <c r="L41" s="356">
        <f ca="1">-(SUMIF('Phase I Pro Forma'!$D$90:$R$90,'Official Summary'!L$3,'Phase I Pro Forma'!$D$124:$R$124)+SUMIF('Phase II Pro Forma'!$D$90:$R$90,'Official Summary'!L$3,'Phase II Pro Forma'!$D$124:$R$124)+SUMIF('Phase III Pro Forma'!$D$90:$R$90,'Official Summary'!L$3,'Phase III Pro Forma'!$D$124:$R$124))</f>
        <v>-12419237.492683183</v>
      </c>
      <c r="M41" s="356">
        <f>-(SUMIF('Phase I Pro Forma'!$D$90:$R$90,'Official Summary'!M$3,'Phase I Pro Forma'!$D$124:$R$124)+SUMIF('Phase II Pro Forma'!$D$90:$R$90,'Official Summary'!M$3,'Phase II Pro Forma'!$D$124:$R$124)+SUMIF('Phase III Pro Forma'!$D$90:$R$90,'Official Summary'!M$3,'Phase III Pro Forma'!$D$124:$R$124))</f>
        <v>0</v>
      </c>
      <c r="N41" s="356">
        <f ca="1">-(SUMIF('Phase I Pro Forma'!$D$90:$R$90,'Official Summary'!N$3,'Phase I Pro Forma'!$D$124:$R$124)+SUMIF('Phase II Pro Forma'!$D$90:$R$90,'Official Summary'!N$3,'Phase II Pro Forma'!$D$124:$R$124)+SUMIF('Phase III Pro Forma'!$D$90:$R$90,'Official Summary'!N$3,'Phase III Pro Forma'!$D$124:$R$124))</f>
        <v>0</v>
      </c>
    </row>
    <row r="42" spans="1:14" ht="17.100000000000001" thickBot="1">
      <c r="A42" s="358"/>
      <c r="B42" s="358" t="s">
        <v>36</v>
      </c>
      <c r="C42" s="356">
        <f>-(SUMIF('Phase I Pro Forma'!$D$90:$R$90,'Official Summary'!C$3,'Phase I Pro Forma'!$D$128:$R$128)+SUMIF('Phase II Pro Forma'!$D$90:$R$90,'Official Summary'!C$3,'Phase II Pro Forma'!$D$128:$R$128)+SUMIF('Phase III Pro Forma'!$D$90:$R$90,'Official Summary'!C$3,'Phase III Pro Forma'!$D$128:$R$128))</f>
        <v>0</v>
      </c>
      <c r="D42" s="356">
        <f>-(SUMIF('Phase I Pro Forma'!$D$90:$R$90,'Official Summary'!D$3,'Phase I Pro Forma'!$D$128:$R$128)+SUMIF('Phase II Pro Forma'!$D$90:$R$90,'Official Summary'!D$3,'Phase II Pro Forma'!$D$128:$R$128)+SUMIF('Phase III Pro Forma'!$D$90:$R$90,'Official Summary'!D$3,'Phase III Pro Forma'!$D$128:$R$128))</f>
        <v>0</v>
      </c>
      <c r="E42" s="356">
        <f>-(SUMIF('Phase I Pro Forma'!$D$90:$R$90,'Official Summary'!E$3,'Phase I Pro Forma'!$D$128:$R$128)+SUMIF('Phase II Pro Forma'!$D$90:$R$90,'Official Summary'!E$3,'Phase II Pro Forma'!$D$128:$R$128)+SUMIF('Phase III Pro Forma'!$D$90:$R$90,'Official Summary'!E$3,'Phase III Pro Forma'!$D$128:$R$128))</f>
        <v>0</v>
      </c>
      <c r="F42" s="356">
        <f>-(SUMIF('Phase I Pro Forma'!$D$90:$R$90,'Official Summary'!F$3,'Phase I Pro Forma'!$D$128:$R$128)+SUMIF('Phase II Pro Forma'!$D$90:$R$90,'Official Summary'!F$3,'Phase II Pro Forma'!$D$128:$R$128)+SUMIF('Phase III Pro Forma'!$D$90:$R$90,'Official Summary'!F$3,'Phase III Pro Forma'!$D$128:$R$128))</f>
        <v>0</v>
      </c>
      <c r="G42" s="356">
        <f>-(SUMIF('Phase I Pro Forma'!$D$90:$R$90,'Official Summary'!G$3,'Phase I Pro Forma'!$D$128:$R$128)+SUMIF('Phase II Pro Forma'!$D$90:$R$90,'Official Summary'!G$3,'Phase II Pro Forma'!$D$128:$R$128)+SUMIF('Phase III Pro Forma'!$D$90:$R$90,'Official Summary'!G$3,'Phase III Pro Forma'!$D$128:$R$128))</f>
        <v>0</v>
      </c>
      <c r="H42" s="356">
        <f>-(SUMIF('Phase I Pro Forma'!$D$90:$R$90,'Official Summary'!H$3,'Phase I Pro Forma'!$D$128:$R$128)+SUMIF('Phase II Pro Forma'!$D$90:$R$90,'Official Summary'!H$3,'Phase II Pro Forma'!$D$128:$R$128)+SUMIF('Phase III Pro Forma'!$D$90:$R$90,'Official Summary'!H$3,'Phase III Pro Forma'!$D$128:$R$128))</f>
        <v>0</v>
      </c>
      <c r="I42" s="356">
        <f ca="1">-(SUMIF('Phase I Pro Forma'!$D$90:$R$90,'Official Summary'!I$3,'Phase I Pro Forma'!$D$128:$R$128)+SUMIF('Phase II Pro Forma'!$D$90:$R$90,'Official Summary'!I$3,'Phase II Pro Forma'!$D$128:$R$128)+SUMIF('Phase III Pro Forma'!$D$90:$R$90,'Official Summary'!I$3,'Phase III Pro Forma'!$D$128:$R$128))</f>
        <v>-257924795.22714105</v>
      </c>
      <c r="J42" s="356">
        <f>-(SUMIF('Phase I Pro Forma'!$D$90:$R$90,'Official Summary'!J$3,'Phase I Pro Forma'!$D$128:$R$128)+SUMIF('Phase II Pro Forma'!$D$90:$R$90,'Official Summary'!J$3,'Phase II Pro Forma'!$D$128:$R$128)+SUMIF('Phase III Pro Forma'!$D$90:$R$90,'Official Summary'!J$3,'Phase III Pro Forma'!$D$128:$R$128))</f>
        <v>0</v>
      </c>
      <c r="K42" s="356">
        <f ca="1">-(SUMIF('Phase I Pro Forma'!$D$90:$R$90,'Official Summary'!K$3,'Phase I Pro Forma'!$D$128:$R$128)+SUMIF('Phase II Pro Forma'!$D$90:$R$90,'Official Summary'!K$3,'Phase II Pro Forma'!$D$128:$R$128)+SUMIF('Phase III Pro Forma'!$D$90:$R$90,'Official Summary'!K$3,'Phase III Pro Forma'!$D$128:$R$128))</f>
        <v>-287144430.71716708</v>
      </c>
      <c r="L42" s="356">
        <f ca="1">-(SUMIF('Phase I Pro Forma'!$D$90:$R$90,'Official Summary'!L$3,'Phase I Pro Forma'!$D$128:$R$128)+SUMIF('Phase II Pro Forma'!$D$90:$R$90,'Official Summary'!L$3,'Phase II Pro Forma'!$D$128:$R$128)+SUMIF('Phase III Pro Forma'!$D$90:$R$90,'Official Summary'!L$3,'Phase III Pro Forma'!$D$128:$R$128))</f>
        <v>-196939980.38283071</v>
      </c>
      <c r="M42" s="356">
        <f>-(SUMIF('Phase I Pro Forma'!$D$90:$R$90,'Official Summary'!M$3,'Phase I Pro Forma'!$D$128:$R$128)+SUMIF('Phase II Pro Forma'!$D$90:$R$90,'Official Summary'!M$3,'Phase II Pro Forma'!$D$128:$R$128)+SUMIF('Phase III Pro Forma'!$D$90:$R$90,'Official Summary'!M$3,'Phase III Pro Forma'!$D$128:$R$128))</f>
        <v>0</v>
      </c>
      <c r="N42" s="356">
        <f>-(SUMIF('Phase I Pro Forma'!$D$90:$R$90,'Official Summary'!N$3,'Phase I Pro Forma'!$D$128:$R$128)+SUMIF('Phase II Pro Forma'!$D$90:$R$90,'Official Summary'!N$3,'Phase II Pro Forma'!$D$128:$R$128)+SUMIF('Phase III Pro Forma'!$D$90:$R$90,'Official Summary'!N$3,'Phase III Pro Forma'!$D$128:$R$128))</f>
        <v>0</v>
      </c>
    </row>
    <row r="43" spans="1:14" ht="17.100000000000001" thickBot="1">
      <c r="A43" s="358"/>
      <c r="B43" s="369" t="s">
        <v>37</v>
      </c>
      <c r="C43" s="370">
        <f ca="1">C37+C39+C40+C41+C42</f>
        <v>-40497008.290518522</v>
      </c>
      <c r="D43" s="370">
        <f t="shared" ref="D43:N43" ca="1" si="6">D37+D39+D40+D41+D42</f>
        <v>-863894.41446947528</v>
      </c>
      <c r="E43" s="370">
        <f t="shared" ca="1" si="6"/>
        <v>-23133110.277128518</v>
      </c>
      <c r="F43" s="370">
        <f t="shared" ca="1" si="6"/>
        <v>-46705979.557445437</v>
      </c>
      <c r="G43" s="370">
        <f t="shared" ca="1" si="6"/>
        <v>-28683424.472069416</v>
      </c>
      <c r="H43" s="370">
        <f t="shared" ca="1" si="6"/>
        <v>-15548999.925725546</v>
      </c>
      <c r="I43" s="370">
        <f t="shared" ca="1" si="6"/>
        <v>126663220.47345248</v>
      </c>
      <c r="J43" s="370">
        <f t="shared" ca="1" si="6"/>
        <v>31110269.472491026</v>
      </c>
      <c r="K43" s="370">
        <f t="shared" ca="1" si="6"/>
        <v>266458391.13062721</v>
      </c>
      <c r="L43" s="370">
        <f t="shared" ca="1" si="6"/>
        <v>189714522.96495774</v>
      </c>
      <c r="M43" s="370">
        <f t="shared" si="6"/>
        <v>0</v>
      </c>
      <c r="N43" s="370">
        <f t="shared" ca="1" si="6"/>
        <v>0</v>
      </c>
    </row>
    <row r="44" spans="1:14" ht="17.100000000000001" thickBot="1">
      <c r="B44" s="358"/>
      <c r="C44" s="356"/>
      <c r="D44" s="356"/>
      <c r="E44" s="356"/>
      <c r="F44" s="356"/>
      <c r="G44" s="356"/>
      <c r="H44" s="356"/>
      <c r="I44" s="356"/>
      <c r="J44" s="356"/>
      <c r="K44" s="356"/>
      <c r="L44" s="356"/>
      <c r="M44" s="356"/>
      <c r="N44" s="356"/>
    </row>
    <row r="45" spans="1:14">
      <c r="B45" s="374" t="s">
        <v>38</v>
      </c>
      <c r="C45" s="375">
        <v>0.1</v>
      </c>
      <c r="D45" s="376">
        <f ca="1">NPV(C45,C43:N43)</f>
        <v>152261320.48307726</v>
      </c>
      <c r="E45" s="350"/>
      <c r="F45" s="350"/>
      <c r="G45" s="350"/>
      <c r="H45" s="350"/>
      <c r="I45" s="350"/>
      <c r="J45" s="350"/>
      <c r="K45" s="350"/>
      <c r="L45" s="482"/>
      <c r="M45" s="482"/>
      <c r="N45" s="350"/>
    </row>
    <row r="46" spans="1:14" ht="17.100000000000001" thickBot="1">
      <c r="B46" s="377" t="s">
        <v>39</v>
      </c>
      <c r="C46" s="344"/>
      <c r="D46" s="378">
        <f>Assumptions!V99</f>
        <v>0.65</v>
      </c>
      <c r="E46" s="350"/>
      <c r="F46" s="350"/>
      <c r="G46" s="353"/>
      <c r="H46" s="350"/>
      <c r="I46" s="350"/>
      <c r="J46" s="350"/>
      <c r="K46" s="350"/>
      <c r="L46" s="350"/>
      <c r="M46" s="350"/>
      <c r="N46" s="350"/>
    </row>
    <row r="47" spans="1:14">
      <c r="B47" s="379" t="s">
        <v>40</v>
      </c>
      <c r="C47" s="344"/>
      <c r="D47" s="378">
        <f ca="1">IRR(C37:N37)</f>
        <v>0.15397430593804762</v>
      </c>
      <c r="E47" s="350"/>
      <c r="F47" s="374" t="s">
        <v>41</v>
      </c>
      <c r="G47" s="383"/>
      <c r="H47" s="384">
        <f>SUM(Land!L7:L27)</f>
        <v>7364865</v>
      </c>
      <c r="I47" s="350"/>
      <c r="J47" s="350"/>
      <c r="K47" s="350"/>
      <c r="L47" s="482"/>
      <c r="M47" s="482"/>
      <c r="N47" s="350"/>
    </row>
    <row r="48" spans="1:14" ht="17.100000000000001" thickBot="1">
      <c r="A48" s="350"/>
      <c r="B48" s="380" t="s">
        <v>42</v>
      </c>
      <c r="C48" s="381"/>
      <c r="D48" s="382">
        <f ca="1">IRR(C43:N43)</f>
        <v>0.27785111868692924</v>
      </c>
      <c r="E48" s="350"/>
      <c r="F48" s="380" t="s">
        <v>43</v>
      </c>
      <c r="G48" s="385"/>
      <c r="H48" s="386">
        <f ca="1">'Phase I Pro Forma'!O114+'Phase II Pro Forma'!M114+'Phase III Pro Forma'!K91</f>
        <v>1013571012.7109215</v>
      </c>
      <c r="I48" s="350"/>
      <c r="J48" s="350"/>
      <c r="K48" s="350"/>
      <c r="L48" s="482"/>
      <c r="M48" s="482"/>
      <c r="N48" s="350"/>
    </row>
    <row r="49" spans="1:14">
      <c r="A49" s="350"/>
      <c r="B49" s="350"/>
      <c r="C49" s="352"/>
      <c r="D49" s="350"/>
      <c r="E49" s="350"/>
      <c r="F49" s="350"/>
      <c r="G49" s="350"/>
      <c r="H49" s="350"/>
      <c r="I49" s="350"/>
      <c r="J49" s="350"/>
      <c r="K49" s="350"/>
      <c r="L49" s="350"/>
      <c r="M49" s="360"/>
      <c r="N49" s="361"/>
    </row>
    <row r="50" spans="1:14">
      <c r="A50" s="346" t="s">
        <v>44</v>
      </c>
      <c r="B50" s="346"/>
      <c r="C50" s="347"/>
      <c r="D50" s="348"/>
      <c r="E50" s="348"/>
      <c r="F50" s="348"/>
      <c r="G50" s="348"/>
      <c r="H50" s="348"/>
      <c r="I50" s="348"/>
      <c r="J50" s="348"/>
      <c r="K50" s="348"/>
      <c r="L50" s="348"/>
      <c r="M50" s="348"/>
      <c r="N50" s="348"/>
    </row>
    <row r="51" spans="1:14">
      <c r="A51" s="402"/>
      <c r="B51" s="402"/>
      <c r="C51" s="403"/>
      <c r="D51" s="404" t="s">
        <v>45</v>
      </c>
      <c r="E51" s="402"/>
      <c r="F51" s="402"/>
      <c r="G51" s="402"/>
      <c r="H51" s="402"/>
      <c r="I51" s="402"/>
      <c r="J51" s="402"/>
      <c r="K51" s="402"/>
      <c r="L51" s="402"/>
      <c r="M51" s="402"/>
      <c r="N51" s="402"/>
    </row>
    <row r="52" spans="1:14" ht="17.100000000000001" thickBot="1">
      <c r="A52" s="403"/>
      <c r="B52" s="399"/>
      <c r="C52" s="400" t="s">
        <v>46</v>
      </c>
      <c r="D52" s="401">
        <f>D3</f>
        <v>2024</v>
      </c>
      <c r="E52" s="401">
        <f t="shared" ref="E52:K52" si="7">D52+1</f>
        <v>2025</v>
      </c>
      <c r="F52" s="401">
        <f t="shared" si="7"/>
        <v>2026</v>
      </c>
      <c r="G52" s="401">
        <f t="shared" si="7"/>
        <v>2027</v>
      </c>
      <c r="H52" s="401">
        <f t="shared" si="7"/>
        <v>2028</v>
      </c>
      <c r="I52" s="401">
        <f t="shared" si="7"/>
        <v>2029</v>
      </c>
      <c r="J52" s="401">
        <f t="shared" si="7"/>
        <v>2030</v>
      </c>
      <c r="K52" s="401">
        <f t="shared" si="7"/>
        <v>2031</v>
      </c>
      <c r="L52" s="467">
        <f>K52+1</f>
        <v>2032</v>
      </c>
      <c r="M52" s="468"/>
      <c r="N52" s="401">
        <f>L52+1</f>
        <v>2033</v>
      </c>
    </row>
    <row r="53" spans="1:14">
      <c r="B53" s="353" t="s">
        <v>47</v>
      </c>
      <c r="C53" s="352"/>
      <c r="D53" s="352"/>
      <c r="E53" s="352"/>
      <c r="F53" s="352"/>
      <c r="G53" s="352"/>
      <c r="H53" s="352"/>
      <c r="I53" s="352"/>
      <c r="J53" s="352"/>
      <c r="K53" s="352"/>
      <c r="L53" s="466"/>
      <c r="M53" s="466"/>
      <c r="N53" s="352"/>
    </row>
    <row r="54" spans="1:14">
      <c r="A54" s="354"/>
      <c r="B54" s="355" t="s">
        <v>6</v>
      </c>
      <c r="C54" s="352" t="s">
        <v>48</v>
      </c>
      <c r="D54" s="362">
        <f>IFERROR(INDEX('Phase I Pro Forma'!$D$31:$R$31,1,MATCH('Official Summary'!D3,'Phase I Pro Forma'!$D$2:$R$2)),0)+IFERROR(INDEX('Phase II Pro Forma'!$D$31:$R$31,1,MATCH('Official Summary'!D3,'Phase II Pro Forma'!$D$2:$R$2)),0)+IFERROR(INDEX('Phase III Pro Forma'!$D$31:$R$31,1,MATCH('Official Summary'!D3,'Phase III Pro Forma'!$D$2:$R$2)),0)</f>
        <v>0</v>
      </c>
      <c r="E54" s="362">
        <f>IFERROR(INDEX('Phase I Pro Forma'!$D$31:$R$31,1,MATCH('Official Summary'!E3,'Phase I Pro Forma'!$D$2:$R$2)),0)+IFERROR(INDEX('Phase II Pro Forma'!$D$31:$R$31,1,MATCH('Official Summary'!E3,'Phase II Pro Forma'!$D$2:$R$2)),0)+IFERROR(INDEX('Phase III Pro Forma'!$D$31:$R$31,1,MATCH('Official Summary'!E3,'Phase III Pro Forma'!$D$2:$R$2)),0)</f>
        <v>0</v>
      </c>
      <c r="F54" s="362">
        <f>IFERROR(INDEX('Phase I Pro Forma'!$D$31:$R$31,1,MATCH('Official Summary'!F3,'Phase I Pro Forma'!$D$2:$R$2)),0)+IFERROR(INDEX('Phase II Pro Forma'!$D$31:$R$31,1,MATCH('Official Summary'!F3,'Phase II Pro Forma'!$D$2:$R$2)),0)+IFERROR(INDEX('Phase III Pro Forma'!$D$31:$R$31,1,MATCH('Official Summary'!F3,'Phase III Pro Forma'!$D$2:$R$2)),0)</f>
        <v>200</v>
      </c>
      <c r="G54" s="362">
        <f>IFERROR(INDEX('Phase I Pro Forma'!$D$31:$R$31,1,MATCH('Official Summary'!G3,'Phase I Pro Forma'!$D$2:$R$2)),0)+IFERROR(INDEX('Phase II Pro Forma'!$D$31:$R$31,1,MATCH('Official Summary'!G3,'Phase II Pro Forma'!$D$2:$R$2)),0)+IFERROR(INDEX('Phase III Pro Forma'!$D$31:$R$31,1,MATCH('Official Summary'!G3,'Phase III Pro Forma'!$D$2:$R$2)),0)</f>
        <v>200</v>
      </c>
      <c r="H54" s="362">
        <f>IFERROR(INDEX('Phase I Pro Forma'!$D$31:$R$31,1,MATCH('Official Summary'!H3,'Phase I Pro Forma'!$D$2:$R$2)),0)+IFERROR(INDEX('Phase II Pro Forma'!$D$31:$R$31,1,MATCH('Official Summary'!H3,'Phase II Pro Forma'!$D$2:$R$2)),0)+IFERROR(INDEX('Phase III Pro Forma'!$D$31:$R$31,1,MATCH('Official Summary'!H3,'Phase III Pro Forma'!$D$2:$R$2)),0)</f>
        <v>400</v>
      </c>
      <c r="I54" s="362">
        <f>IFERROR(INDEX('Phase I Pro Forma'!$D$31:$R$31,1,MATCH('Official Summary'!I3,'Phase I Pro Forma'!$D$2:$R$2)),0)+IFERROR(INDEX('Phase II Pro Forma'!$D$31:$R$31,1,MATCH('Official Summary'!I3,'Phase II Pro Forma'!$D$2:$R$2)),0)+IFERROR(INDEX('Phase III Pro Forma'!$D$31:$R$31,1,MATCH('Official Summary'!I3,'Phase III Pro Forma'!$D$2:$R$2)),0)</f>
        <v>600</v>
      </c>
      <c r="J54" s="362">
        <f>IFERROR(INDEX('Phase I Pro Forma'!$D$31:$R$31,1,MATCH('Official Summary'!J3,'Phase I Pro Forma'!$D$2:$R$2)),0)+IFERROR(INDEX('Phase II Pro Forma'!$D$31:$R$31,1,MATCH('Official Summary'!J3,'Phase II Pro Forma'!$D$2:$R$2)),0)+IFERROR(INDEX('Phase III Pro Forma'!$D$31:$R$31,1,MATCH('Official Summary'!J3,'Phase III Pro Forma'!$D$2:$R$2)),0)</f>
        <v>850</v>
      </c>
      <c r="K54" s="362">
        <f>IFERROR(INDEX('Phase I Pro Forma'!$D$31:$R$31,1,MATCH('Official Summary'!K3,'Phase I Pro Forma'!$D$2:$R$2)),0)+IFERROR(INDEX('Phase II Pro Forma'!$D$31:$R$31,1,MATCH('Official Summary'!K3,'Phase II Pro Forma'!$D$2:$R$2)),0)+IFERROR(INDEX('Phase III Pro Forma'!$D$31:$R$31,1,MATCH('Official Summary'!K3,'Phase III Pro Forma'!$D$2:$R$2)),0)</f>
        <v>850</v>
      </c>
      <c r="L54" s="435">
        <f>IFERROR(INDEX('Phase I Pro Forma'!$D$31:$R$31,1,MATCH('Official Summary'!L3,'Phase I Pro Forma'!$D$2:$R$2)),0)+IFERROR(INDEX('Phase II Pro Forma'!$D$31:$R$31,1,MATCH('Official Summary'!L3,'Phase II Pro Forma'!$D$2:$R$2)),0)+IFERROR(INDEX('Phase III Pro Forma'!$D$31:$R$31,1,MATCH('Official Summary'!L3,'Phase III Pro Forma'!$D$2:$R$2)),0)</f>
        <v>850</v>
      </c>
      <c r="M54" s="435"/>
      <c r="N54" s="362">
        <f>IFERROR(INDEX('Phase I Pro Forma'!$D$31:$R$31,1,MATCH('Official Summary'!N3,'Phase I Pro Forma'!$D$2:$R$2)),0)+IFERROR(INDEX('Phase II Pro Forma'!$D$31:$R$31,1,MATCH('Official Summary'!N3,'Phase II Pro Forma'!$D$2:$R$2)),0)+IFERROR(INDEX('Phase III Pro Forma'!$D$31:$R$31,1,MATCH('Official Summary'!N3,'Phase III Pro Forma'!$D$2:$R$2)),0)</f>
        <v>850</v>
      </c>
    </row>
    <row r="55" spans="1:14">
      <c r="A55" s="354"/>
      <c r="B55" s="355" t="s">
        <v>7</v>
      </c>
      <c r="C55" s="352" t="s">
        <v>48</v>
      </c>
      <c r="D55" s="362">
        <f>IFERROR(INDEX('Phase I Pro Forma'!$D$8:$R$8,1,MATCH('Official Summary'!D3,'Phase I Pro Forma'!$D$2:$R$2)),0)+IFERROR(INDEX('Phase II Pro Forma'!$D$8:$R$8,1,MATCH('Official Summary'!D3,'Phase II Pro Forma'!$D$2:$R$2)),0)+IFERROR(INDEX('Phase III Pro Forma'!$D$8:$R$8,1,MATCH('Official Summary'!D3,'Phase III Pro Forma'!$D$2:$R$2)),0)</f>
        <v>0</v>
      </c>
      <c r="E55" s="362">
        <f>IFERROR(INDEX('Phase I Pro Forma'!$D$8:$R$8,1,MATCH('Official Summary'!E3,'Phase I Pro Forma'!$D$2:$R$2)),0)+IFERROR(INDEX('Phase II Pro Forma'!$D$8:$R$8,1,MATCH('Official Summary'!E3,'Phase II Pro Forma'!$D$2:$R$2)),0)+IFERROR(INDEX('Phase III Pro Forma'!$D$8:$R$8,1,MATCH('Official Summary'!E3,'Phase III Pro Forma'!$D$2:$R$2)),0)</f>
        <v>0</v>
      </c>
      <c r="F55" s="362">
        <f>IFERROR(INDEX('Phase I Pro Forma'!$D$8:$R$8,1,MATCH('Official Summary'!F3,'Phase I Pro Forma'!$D$2:$R$2)),0)+IFERROR(INDEX('Phase II Pro Forma'!$D$8:$R$8,1,MATCH('Official Summary'!F3,'Phase II Pro Forma'!$D$2:$R$2)),0)+IFERROR(INDEX('Phase III Pro Forma'!$D$8:$R$8,1,MATCH('Official Summary'!F3,'Phase III Pro Forma'!$D$2:$R$2)),0)</f>
        <v>200</v>
      </c>
      <c r="G55" s="362">
        <f>IFERROR(INDEX('Phase I Pro Forma'!$D$8:$R$8,1,MATCH('Official Summary'!G3,'Phase I Pro Forma'!$D$2:$R$2)),0)+IFERROR(INDEX('Phase II Pro Forma'!$D$8:$R$8,1,MATCH('Official Summary'!G3,'Phase II Pro Forma'!$D$2:$R$2)),0)+IFERROR(INDEX('Phase III Pro Forma'!$D$8:$R$8,1,MATCH('Official Summary'!G3,'Phase III Pro Forma'!$D$2:$R$2)),0)</f>
        <v>200</v>
      </c>
      <c r="H55" s="362">
        <f>IFERROR(INDEX('Phase I Pro Forma'!$D$8:$R$8,1,MATCH('Official Summary'!H3,'Phase I Pro Forma'!$D$2:$R$2)),0)+IFERROR(INDEX('Phase II Pro Forma'!$D$8:$R$8,1,MATCH('Official Summary'!H3,'Phase II Pro Forma'!$D$2:$R$2)),0)+IFERROR(INDEX('Phase III Pro Forma'!$D$8:$R$8,1,MATCH('Official Summary'!H3,'Phase III Pro Forma'!$D$2:$R$2)),0)</f>
        <v>371</v>
      </c>
      <c r="I55" s="362">
        <f>IFERROR(INDEX('Phase I Pro Forma'!$D$8:$R$8,1,MATCH('Official Summary'!I3,'Phase I Pro Forma'!$D$2:$R$2)),0)+IFERROR(INDEX('Phase II Pro Forma'!$D$8:$R$8,1,MATCH('Official Summary'!I3,'Phase II Pro Forma'!$D$2:$R$2)),0)+IFERROR(INDEX('Phase III Pro Forma'!$D$8:$R$8,1,MATCH('Official Summary'!I3,'Phase III Pro Forma'!$D$2:$R$2)),0)</f>
        <v>371</v>
      </c>
      <c r="J55" s="362">
        <f>IFERROR(INDEX('Phase I Pro Forma'!$D$8:$R$8,1,MATCH('Official Summary'!J3,'Phase I Pro Forma'!$D$2:$R$2)),0)+IFERROR(INDEX('Phase II Pro Forma'!$D$8:$R$8,1,MATCH('Official Summary'!J3,'Phase II Pro Forma'!$D$2:$R$2)),0)+IFERROR(INDEX('Phase III Pro Forma'!$D$8:$R$8,1,MATCH('Official Summary'!J3,'Phase III Pro Forma'!$D$2:$R$2)),0)</f>
        <v>478</v>
      </c>
      <c r="K55" s="362">
        <f>IFERROR(INDEX('Phase I Pro Forma'!$D$8:$R$8,1,MATCH('Official Summary'!K3,'Phase I Pro Forma'!$D$2:$R$2)),0)+IFERROR(INDEX('Phase II Pro Forma'!$D$8:$R$8,1,MATCH('Official Summary'!K3,'Phase II Pro Forma'!$D$2:$R$2)),0)+IFERROR(INDEX('Phase III Pro Forma'!$D$8:$R$8,1,MATCH('Official Summary'!K3,'Phase III Pro Forma'!$D$2:$R$2)),0)</f>
        <v>478</v>
      </c>
      <c r="L55" s="435">
        <f>IFERROR(INDEX('Phase I Pro Forma'!$D$8:$R$8,1,MATCH('Official Summary'!L3,'Phase I Pro Forma'!$D$2:$R$2)),0)+IFERROR(INDEX('Phase II Pro Forma'!$D$8:$R$8,1,MATCH('Official Summary'!L3,'Phase II Pro Forma'!$D$2:$R$2)),0)+IFERROR(INDEX('Phase III Pro Forma'!$D$8:$R$8,1,MATCH('Official Summary'!L3,'Phase III Pro Forma'!$D$2:$R$2)),0)</f>
        <v>478</v>
      </c>
      <c r="M55" s="435"/>
      <c r="N55" s="362">
        <f>IFERROR(INDEX('Phase I Pro Forma'!$D$8:$R$8,1,MATCH('Official Summary'!N3,'Phase I Pro Forma'!$D$2:$R$2)),0)+IFERROR(INDEX('Phase II Pro Forma'!$D$8:$R$8,1,MATCH('Official Summary'!N3,'Phase II Pro Forma'!$D$2:$R$2)),0)+IFERROR(INDEX('Phase III Pro Forma'!$D$8:$R$8,1,MATCH('Official Summary'!N3,'Phase III Pro Forma'!$D$2:$R$2)),0)</f>
        <v>478</v>
      </c>
    </row>
    <row r="56" spans="1:14">
      <c r="A56" s="355" t="s">
        <v>10</v>
      </c>
      <c r="B56" s="355"/>
      <c r="C56" s="352" t="s">
        <v>49</v>
      </c>
      <c r="D56" s="362">
        <f>IFERROR(INDEX('Phase I Pro Forma'!$D$96:$R$96,1,MATCH('Official Summary'!D3,'Phase I Pro Forma'!$D$2:$R$2)),0)+IFERROR(INDEX('Phase II Pro Forma'!$D$96:$R$96,1,MATCH('Official Summary'!D3,'Phase II Pro Forma'!$D$2:$R$2)),0)+IFERROR(INDEX('Phase III Pro Forma'!$D$96:$R$96,1,MATCH('Official Summary'!D3,'Phase III Pro Forma'!$D$2:$R$2)),0)</f>
        <v>0</v>
      </c>
      <c r="E56" s="362">
        <f>IFERROR(INDEX('Phase I Pro Forma'!$D$96:$R$96,1,MATCH('Official Summary'!E3,'Phase I Pro Forma'!$D$2:$R$2)),0)+IFERROR(INDEX('Phase II Pro Forma'!$D$96:$R$96,1,MATCH('Official Summary'!E3,'Phase II Pro Forma'!$D$2:$R$2)),0)+IFERROR(INDEX('Phase III Pro Forma'!$D$96:$R$96,1,MATCH('Official Summary'!E3,'Phase III Pro Forma'!$D$2:$R$2)),0)</f>
        <v>0</v>
      </c>
      <c r="F56" s="362">
        <f>IFERROR(INDEX('Phase I Pro Forma'!$D$96:$R$96,1,MATCH('Official Summary'!F3,'Phase I Pro Forma'!$D$2:$R$2)),0)+IFERROR(INDEX('Phase II Pro Forma'!$D$96:$R$96,1,MATCH('Official Summary'!F3,'Phase II Pro Forma'!$D$2:$R$2)),0)+IFERROR(INDEX('Phase III Pro Forma'!$D$96:$R$96,1,MATCH('Official Summary'!F3,'Phase III Pro Forma'!$D$2:$R$2)),0)</f>
        <v>500</v>
      </c>
      <c r="G56" s="362">
        <f>IFERROR(INDEX('Phase I Pro Forma'!$D$96:$R$96,1,MATCH('Official Summary'!G3,'Phase I Pro Forma'!$D$2:$R$2)),0)+IFERROR(INDEX('Phase II Pro Forma'!$D$96:$R$96,1,MATCH('Official Summary'!G3,'Phase II Pro Forma'!$D$2:$R$2)),0)+IFERROR(INDEX('Phase III Pro Forma'!$D$96:$R$96,1,MATCH('Official Summary'!G3,'Phase III Pro Forma'!$D$2:$R$2)),0)</f>
        <v>500</v>
      </c>
      <c r="H56" s="362">
        <f>IFERROR(INDEX('Phase I Pro Forma'!$D$96:$R$96,1,MATCH('Official Summary'!H3,'Phase I Pro Forma'!$D$2:$R$2)),0)+IFERROR(INDEX('Phase II Pro Forma'!$D$96:$R$96,1,MATCH('Official Summary'!H3,'Phase II Pro Forma'!$D$2:$R$2)),0)+IFERROR(INDEX('Phase III Pro Forma'!$D$96:$R$96,1,MATCH('Official Summary'!H3,'Phase III Pro Forma'!$D$2:$R$2)),0)</f>
        <v>1250</v>
      </c>
      <c r="I56" s="362">
        <f>IFERROR(INDEX('Phase I Pro Forma'!$D$96:$R$96,1,MATCH('Official Summary'!I3,'Phase I Pro Forma'!$D$2:$R$2)),0)+IFERROR(INDEX('Phase II Pro Forma'!$D$96:$R$96,1,MATCH('Official Summary'!I3,'Phase II Pro Forma'!$D$2:$R$2)),0)+IFERROR(INDEX('Phase III Pro Forma'!$D$96:$R$96,1,MATCH('Official Summary'!I3,'Phase III Pro Forma'!$D$2:$R$2)),0)</f>
        <v>1250</v>
      </c>
      <c r="J56" s="362">
        <f>IFERROR(INDEX('Phase I Pro Forma'!$D$96:$R$96,1,MATCH('Official Summary'!J3,'Phase I Pro Forma'!$D$2:$R$2)),0)+IFERROR(INDEX('Phase II Pro Forma'!$D$96:$R$96,1,MATCH('Official Summary'!J3,'Phase II Pro Forma'!$D$2:$R$2)),0)+IFERROR(INDEX('Phase III Pro Forma'!$D$96:$R$96,1,MATCH('Official Summary'!J3,'Phase III Pro Forma'!$D$2:$R$2)),0)</f>
        <v>1250</v>
      </c>
      <c r="K56" s="362">
        <f>IFERROR(INDEX('Phase I Pro Forma'!$D$96:$R$96,1,MATCH('Official Summary'!K3,'Phase I Pro Forma'!$D$2:$R$2)),0)+IFERROR(INDEX('Phase II Pro Forma'!$D$96:$R$96,1,MATCH('Official Summary'!K3,'Phase II Pro Forma'!$D$2:$R$2)),0)+IFERROR(INDEX('Phase III Pro Forma'!$D$96:$R$96,1,MATCH('Official Summary'!K3,'Phase III Pro Forma'!$D$2:$R$2)),0)</f>
        <v>1250</v>
      </c>
      <c r="L56" s="435">
        <f>IFERROR(INDEX('Phase I Pro Forma'!$D$96:$R$96,1,MATCH('Official Summary'!L3,'Phase I Pro Forma'!$D$2:$R$2)),0)+IFERROR(INDEX('Phase II Pro Forma'!$D$96:$R$96,1,MATCH('Official Summary'!L3,'Phase II Pro Forma'!$D$2:$R$2)),0)+IFERROR(INDEX('Phase III Pro Forma'!$D$96:$R$96,1,MATCH('Official Summary'!L3,'Phase III Pro Forma'!$D$2:$R$2)),0)</f>
        <v>1250</v>
      </c>
      <c r="M56" s="435"/>
      <c r="N56" s="362">
        <f>IFERROR(INDEX('Phase I Pro Forma'!$D$96:$R$96,1,MATCH('Official Summary'!N3,'Phase I Pro Forma'!$D$2:$R$2)),0)+IFERROR(INDEX('Phase II Pro Forma'!$D$96:$R$96,1,MATCH('Official Summary'!N3,'Phase II Pro Forma'!$D$2:$R$2)),0)+IFERROR(INDEX('Phase III Pro Forma'!$D$96:$R$96,1,MATCH('Official Summary'!N3,'Phase III Pro Forma'!$D$2:$R$2)),0)</f>
        <v>1250</v>
      </c>
    </row>
    <row r="57" spans="1:14">
      <c r="A57" s="355" t="s">
        <v>12</v>
      </c>
      <c r="B57" s="355"/>
      <c r="C57" s="352"/>
      <c r="D57" s="352"/>
      <c r="E57" s="352"/>
      <c r="F57" s="352"/>
      <c r="G57" s="352"/>
      <c r="H57" s="352"/>
      <c r="I57" s="352"/>
      <c r="J57" s="352"/>
      <c r="K57" s="352"/>
      <c r="L57" s="352"/>
      <c r="M57" s="352"/>
      <c r="N57" s="352"/>
    </row>
    <row r="58" spans="1:14">
      <c r="B58" s="353" t="s">
        <v>50</v>
      </c>
      <c r="C58" s="352"/>
      <c r="D58" s="352"/>
      <c r="E58" s="352"/>
      <c r="F58" s="352"/>
      <c r="G58" s="352"/>
      <c r="H58" s="352"/>
      <c r="I58" s="352"/>
      <c r="J58" s="352"/>
      <c r="K58" s="352"/>
      <c r="L58" s="466"/>
      <c r="M58" s="466"/>
      <c r="N58" s="352"/>
    </row>
    <row r="59" spans="1:14">
      <c r="A59" s="354"/>
      <c r="B59" s="355" t="s">
        <v>6</v>
      </c>
      <c r="C59" s="352" t="s">
        <v>51</v>
      </c>
      <c r="D59" s="362">
        <f>(IFERROR(INDEX('Phase I Pro Forma'!$D$29:$R$29,1,MATCH('Official Summary'!D3,'Phase I Pro Forma'!$D$2:$R$2)),0)+IFERROR(INDEX('Phase II Pro Forma'!$D$29:$R$29,1,MATCH('Official Summary'!D3,'Phase II Pro Forma'!$D$2:$R$2)),0)+IFERROR(INDEX('Phase III Pro Forma'!$D$29:$R$29,1,MATCH('Official Summary'!D3,'Phase III Pro Forma'!$D$2:$R$2)),0))/Housing!$B$1</f>
        <v>0</v>
      </c>
      <c r="E59" s="362">
        <f>(IFERROR(INDEX('Phase I Pro Forma'!$D$29:$R$29,1,MATCH('Official Summary'!E3,'Phase I Pro Forma'!$D$2:$R$2)),0)+IFERROR(INDEX('Phase II Pro Forma'!$D$29:$R$29,1,MATCH('Official Summary'!E3,'Phase II Pro Forma'!$D$2:$R$2)),0)+IFERROR(INDEX('Phase III Pro Forma'!$D$29:$R$29,1,MATCH('Official Summary'!E3,'Phase III Pro Forma'!$D$2:$R$2)),0))/Housing!$B$1</f>
        <v>0</v>
      </c>
      <c r="F59" s="362">
        <f>(IFERROR(INDEX('Phase I Pro Forma'!$D$29:$R$29,1,MATCH('Official Summary'!F3,'Phase I Pro Forma'!$D$2:$R$2)),0)+IFERROR(INDEX('Phase II Pro Forma'!$D$29:$R$29,1,MATCH('Official Summary'!F3,'Phase II Pro Forma'!$D$2:$R$2)),0)+IFERROR(INDEX('Phase III Pro Forma'!$D$29:$R$29,1,MATCH('Official Summary'!F3,'Phase III Pro Forma'!$D$2:$R$2)),0))/Housing!$B$1</f>
        <v>187500</v>
      </c>
      <c r="G59" s="362">
        <f>(IFERROR(INDEX('Phase I Pro Forma'!$D$29:$R$29,1,MATCH('Official Summary'!G3,'Phase I Pro Forma'!$D$2:$R$2)),0)+IFERROR(INDEX('Phase II Pro Forma'!$D$29:$R$29,1,MATCH('Official Summary'!G3,'Phase II Pro Forma'!$D$2:$R$2)),0)+IFERROR(INDEX('Phase III Pro Forma'!$D$29:$R$29,1,MATCH('Official Summary'!G3,'Phase III Pro Forma'!$D$2:$R$2)),0))/Housing!$B$1</f>
        <v>187500</v>
      </c>
      <c r="H59" s="362">
        <f>(IFERROR(INDEX('Phase I Pro Forma'!$D$29:$R$29,1,MATCH('Official Summary'!H3,'Phase I Pro Forma'!$D$2:$R$2)),0)+IFERROR(INDEX('Phase II Pro Forma'!$D$29:$R$29,1,MATCH('Official Summary'!H3,'Phase II Pro Forma'!$D$2:$R$2)),0)+IFERROR(INDEX('Phase III Pro Forma'!$D$29:$R$29,1,MATCH('Official Summary'!H3,'Phase III Pro Forma'!$D$2:$R$2)),0))/Housing!$B$1</f>
        <v>375000</v>
      </c>
      <c r="I59" s="362">
        <f>(IFERROR(INDEX('Phase I Pro Forma'!$D$29:$R$29,1,MATCH('Official Summary'!I3,'Phase I Pro Forma'!$D$2:$R$2)),0)+IFERROR(INDEX('Phase II Pro Forma'!$D$29:$R$29,1,MATCH('Official Summary'!I3,'Phase II Pro Forma'!$D$2:$R$2)),0)+IFERROR(INDEX('Phase III Pro Forma'!$D$29:$R$29,1,MATCH('Official Summary'!I3,'Phase III Pro Forma'!$D$2:$R$2)),0))/Housing!$B$1</f>
        <v>562500</v>
      </c>
      <c r="J59" s="362">
        <f>(IFERROR(INDEX('Phase I Pro Forma'!$D$29:$R$29,1,MATCH('Official Summary'!J3,'Phase I Pro Forma'!$D$2:$R$2)),0)+IFERROR(INDEX('Phase II Pro Forma'!$D$29:$R$29,1,MATCH('Official Summary'!J3,'Phase II Pro Forma'!$D$2:$R$2)),0)+IFERROR(INDEX('Phase III Pro Forma'!$D$29:$R$29,1,MATCH('Official Summary'!J3,'Phase III Pro Forma'!$D$2:$R$2)),0))/Housing!$B$1</f>
        <v>796875</v>
      </c>
      <c r="K59" s="362">
        <f>(IFERROR(INDEX('Phase I Pro Forma'!$D$29:$R$29,1,MATCH('Official Summary'!K3,'Phase I Pro Forma'!$D$2:$R$2)),0)+IFERROR(INDEX('Phase II Pro Forma'!$D$29:$R$29,1,MATCH('Official Summary'!K3,'Phase II Pro Forma'!$D$2:$R$2)),0)+IFERROR(INDEX('Phase III Pro Forma'!$D$29:$R$29,1,MATCH('Official Summary'!K3,'Phase III Pro Forma'!$D$2:$R$2)),0))/Housing!$B$1</f>
        <v>796875</v>
      </c>
      <c r="L59" s="435">
        <f>(IFERROR(INDEX('Phase I Pro Forma'!$D$29:$R$29,1,MATCH('Official Summary'!L3,'Phase I Pro Forma'!$D$2:$R$2)),0)+IFERROR(INDEX('Phase II Pro Forma'!$D$29:$R$29,1,MATCH('Official Summary'!L3,'Phase II Pro Forma'!$D$2:$R$2)),0)+IFERROR(INDEX('Phase III Pro Forma'!$D$29:$R$29,1,MATCH('Official Summary'!L3,'Phase III Pro Forma'!$D$2:$R$2)),0))/Housing!$B$1</f>
        <v>796875</v>
      </c>
      <c r="M59" s="435"/>
      <c r="N59" s="362">
        <f>(IFERROR(INDEX('Phase I Pro Forma'!$D$29:$R$29,1,MATCH('Official Summary'!N3,'Phase I Pro Forma'!$D$2:$R$2)),0)+IFERROR(INDEX('Phase II Pro Forma'!$D$29:$R$29,1,MATCH('Official Summary'!N3,'Phase II Pro Forma'!$D$2:$R$2)),0)+IFERROR(INDEX('Phase III Pro Forma'!$D$29:$R$29,1,MATCH('Official Summary'!N3,'Phase III Pro Forma'!$D$2:$R$2)),0))/Housing!$B$1</f>
        <v>796875</v>
      </c>
    </row>
    <row r="60" spans="1:14">
      <c r="A60" s="354"/>
      <c r="B60" s="355" t="s">
        <v>7</v>
      </c>
      <c r="C60" s="352" t="s">
        <v>51</v>
      </c>
      <c r="D60" s="362">
        <f>(IFERROR(INDEX('Phase I Pro Forma'!$D$6:$R$6,1,MATCH('Official Summary'!D3,'Phase I Pro Forma'!$D$2:$R$2)),0)+IFERROR(INDEX('Phase II Pro Forma'!$D$6:$R$6,1,MATCH('Official Summary'!D3,'Phase II Pro Forma'!$D$2:$R$2)),0)+IFERROR(INDEX('Phase III Pro Forma'!$D$6:$R$6,1,MATCH('Official Summary'!D3,'Phase III Pro Forma'!$D$2:$R$2)),0))/Housing!$B$2</f>
        <v>0</v>
      </c>
      <c r="E60" s="362">
        <f>(IFERROR(INDEX('Phase I Pro Forma'!$D$6:$R$6,1,MATCH('Official Summary'!E3,'Phase I Pro Forma'!$D$2:$R$2)),0)+IFERROR(INDEX('Phase II Pro Forma'!$D$6:$R$6,1,MATCH('Official Summary'!E3,'Phase II Pro Forma'!$D$2:$R$2)),0)+IFERROR(INDEX('Phase III Pro Forma'!$D$6:$R$6,1,MATCH('Official Summary'!E3,'Phase III Pro Forma'!$D$2:$R$2)),0))/Housing!$B$2</f>
        <v>0</v>
      </c>
      <c r="F60" s="362">
        <f>(IFERROR(INDEX('Phase I Pro Forma'!$D$6:$R$6,1,MATCH('Official Summary'!F3,'Phase I Pro Forma'!$D$2:$R$2)),0)+IFERROR(INDEX('Phase II Pro Forma'!$D$6:$R$6,1,MATCH('Official Summary'!F3,'Phase II Pro Forma'!$D$2:$R$2)),0)+IFERROR(INDEX('Phase III Pro Forma'!$D$6:$R$6,1,MATCH('Official Summary'!F3,'Phase III Pro Forma'!$D$2:$R$2)),0))/Housing!$B$2</f>
        <v>126823.52941176471</v>
      </c>
      <c r="G60" s="362">
        <f>(IFERROR(INDEX('Phase I Pro Forma'!$D$6:$R$6,1,MATCH('Official Summary'!G3,'Phase I Pro Forma'!$D$2:$R$2)),0)+IFERROR(INDEX('Phase II Pro Forma'!$D$6:$R$6,1,MATCH('Official Summary'!G3,'Phase II Pro Forma'!$D$2:$R$2)),0)+IFERROR(INDEX('Phase III Pro Forma'!$D$6:$R$6,1,MATCH('Official Summary'!G3,'Phase III Pro Forma'!$D$2:$R$2)),0))/Housing!$B$2</f>
        <v>126823.52941176471</v>
      </c>
      <c r="H60" s="362">
        <f>(IFERROR(INDEX('Phase I Pro Forma'!$D$6:$R$6,1,MATCH('Official Summary'!H3,'Phase I Pro Forma'!$D$2:$R$2)),0)+IFERROR(INDEX('Phase II Pro Forma'!$D$6:$R$6,1,MATCH('Official Summary'!H3,'Phase II Pro Forma'!$D$2:$R$2)),0)+IFERROR(INDEX('Phase III Pro Forma'!$D$6:$R$6,1,MATCH('Official Summary'!H3,'Phase III Pro Forma'!$D$2:$R$2)),0))/Housing!$B$2</f>
        <v>280723.5294117647</v>
      </c>
      <c r="I60" s="362">
        <f>(IFERROR(INDEX('Phase I Pro Forma'!$D$6:$R$6,1,MATCH('Official Summary'!I3,'Phase I Pro Forma'!$D$2:$R$2)),0)+IFERROR(INDEX('Phase II Pro Forma'!$D$6:$R$6,1,MATCH('Official Summary'!I3,'Phase II Pro Forma'!$D$2:$R$2)),0)+IFERROR(INDEX('Phase III Pro Forma'!$D$6:$R$6,1,MATCH('Official Summary'!I3,'Phase III Pro Forma'!$D$2:$R$2)),0))/Housing!$B$2</f>
        <v>280723.5294117647</v>
      </c>
      <c r="J60" s="362">
        <f>(IFERROR(INDEX('Phase I Pro Forma'!$D$6:$R$6,1,MATCH('Official Summary'!J3,'Phase I Pro Forma'!$D$2:$R$2)),0)+IFERROR(INDEX('Phase II Pro Forma'!$D$6:$R$6,1,MATCH('Official Summary'!J3,'Phase II Pro Forma'!$D$2:$R$2)),0)+IFERROR(INDEX('Phase III Pro Forma'!$D$6:$R$6,1,MATCH('Official Summary'!J3,'Phase III Pro Forma'!$D$2:$R$2)),0))/Housing!$B$2</f>
        <v>377023.5294117647</v>
      </c>
      <c r="K60" s="362">
        <f>(IFERROR(INDEX('Phase I Pro Forma'!$D$6:$R$6,1,MATCH('Official Summary'!K3,'Phase I Pro Forma'!$D$2:$R$2)),0)+IFERROR(INDEX('Phase II Pro Forma'!$D$6:$R$6,1,MATCH('Official Summary'!K3,'Phase II Pro Forma'!$D$2:$R$2)),0)+IFERROR(INDEX('Phase III Pro Forma'!$D$6:$R$6,1,MATCH('Official Summary'!K3,'Phase III Pro Forma'!$D$2:$R$2)),0))/Housing!$B$2</f>
        <v>377023.5294117647</v>
      </c>
      <c r="L60" s="435">
        <f>(IFERROR(INDEX('Phase I Pro Forma'!$D$6:$R$6,1,MATCH('Official Summary'!L3,'Phase I Pro Forma'!$D$2:$R$2)),0)+IFERROR(INDEX('Phase II Pro Forma'!$D$6:$R$6,1,MATCH('Official Summary'!L3,'Phase II Pro Forma'!$D$2:$R$2)),0)+IFERROR(INDEX('Phase III Pro Forma'!$D$6:$R$6,1,MATCH('Official Summary'!L3,'Phase III Pro Forma'!$D$2:$R$2)),0))/Housing!$B$2</f>
        <v>377023.5294117647</v>
      </c>
      <c r="M60" s="435"/>
      <c r="N60" s="362">
        <f>(IFERROR(INDEX('Phase I Pro Forma'!$D$6:$R$6,1,MATCH('Official Summary'!N3,'Phase I Pro Forma'!$D$2:$R$2)),0)+IFERROR(INDEX('Phase II Pro Forma'!$D$6:$R$6,1,MATCH('Official Summary'!N3,'Phase II Pro Forma'!$D$2:$R$2)),0)+IFERROR(INDEX('Phase III Pro Forma'!$D$6:$R$6,1,MATCH('Official Summary'!N3,'Phase III Pro Forma'!$D$2:$R$2)),0))/Housing!$B$2</f>
        <v>377023.5294117647</v>
      </c>
    </row>
    <row r="61" spans="1:14" ht="17.100000000000001" customHeight="1">
      <c r="A61" s="355" t="s">
        <v>8</v>
      </c>
      <c r="B61" s="355"/>
      <c r="C61" s="352" t="s">
        <v>51</v>
      </c>
      <c r="D61" s="362">
        <f>IFERROR(INDEX('Phase I Pro Forma'!$D$52:$R$52,1,MATCH('Official Summary'!D3,'Phase I Pro Forma'!$D$2:$R$2)),0)+IFERROR(INDEX('Phase II Pro Forma'!$D$52:$R$52,1,MATCH('Official Summary'!D3,'Phase II Pro Forma'!$D$2:$R$2)),0)+IFERROR(INDEX('Phase III Pro Forma'!$D$52:$R$52,1,MATCH('Official Summary'!D3,'Phase III Pro Forma'!$D$2:$R$2)),0)/Assumptions!$S$27</f>
        <v>0</v>
      </c>
      <c r="E61" s="362">
        <f>IFERROR(INDEX('Phase I Pro Forma'!$D$52:$R$52,1,MATCH('Official Summary'!E3,'Phase I Pro Forma'!$D$2:$R$2)),0)+IFERROR(INDEX('Phase II Pro Forma'!$D$52:$R$52,1,MATCH('Official Summary'!E3,'Phase II Pro Forma'!$D$2:$R$2)),0)+IFERROR(INDEX('Phase III Pro Forma'!$D$52:$R$52,1,MATCH('Official Summary'!E3,'Phase III Pro Forma'!$D$2:$R$2)),0)/Assumptions!$S$27</f>
        <v>0</v>
      </c>
      <c r="F61" s="362">
        <f>IFERROR(INDEX('Phase I Pro Forma'!$D$52:$R$52,1,MATCH('Official Summary'!F3,'Phase I Pro Forma'!$D$2:$R$2)),0)+IFERROR(INDEX('Phase II Pro Forma'!$D$52:$R$52,1,MATCH('Official Summary'!F3,'Phase II Pro Forma'!$D$2:$R$2)),0)+IFERROR(INDEX('Phase III Pro Forma'!$D$52:$R$52,1,MATCH('Official Summary'!F3,'Phase III Pro Forma'!$D$2:$R$2)),0)/Assumptions!$S$27</f>
        <v>90000</v>
      </c>
      <c r="G61" s="362">
        <f>IFERROR(INDEX('Phase I Pro Forma'!$D$52:$R$52,1,MATCH('Official Summary'!G3,'Phase I Pro Forma'!$D$2:$R$2)),0)+IFERROR(INDEX('Phase II Pro Forma'!$D$52:$R$52,1,MATCH('Official Summary'!G3,'Phase II Pro Forma'!$D$2:$R$2)),0)+IFERROR(INDEX('Phase III Pro Forma'!$D$52:$R$52,1,MATCH('Official Summary'!G3,'Phase III Pro Forma'!$D$2:$R$2)),0)/Assumptions!$S$27</f>
        <v>180000</v>
      </c>
      <c r="H61" s="362">
        <f>IFERROR(INDEX('Phase I Pro Forma'!$D$52:$R$52,1,MATCH('Official Summary'!H3,'Phase I Pro Forma'!$D$2:$R$2)),0)+IFERROR(INDEX('Phase II Pro Forma'!$D$52:$R$52,1,MATCH('Official Summary'!H3,'Phase II Pro Forma'!$D$2:$R$2)),0)+IFERROR(INDEX('Phase III Pro Forma'!$D$52:$R$52,1,MATCH('Official Summary'!H3,'Phase III Pro Forma'!$D$2:$R$2)),0)/Assumptions!$S$27</f>
        <v>280000</v>
      </c>
      <c r="I61" s="362">
        <f>IFERROR(INDEX('Phase I Pro Forma'!$D$52:$R$52,1,MATCH('Official Summary'!I3,'Phase I Pro Forma'!$D$2:$R$2)),0)+IFERROR(INDEX('Phase II Pro Forma'!$D$52:$R$52,1,MATCH('Official Summary'!I3,'Phase II Pro Forma'!$D$2:$R$2)),0)+IFERROR(INDEX('Phase III Pro Forma'!$D$52:$R$52,1,MATCH('Official Summary'!I3,'Phase III Pro Forma'!$D$2:$R$2)),0)/Assumptions!$S$27</f>
        <v>280000</v>
      </c>
      <c r="J61" s="362">
        <f>IFERROR(INDEX('Phase I Pro Forma'!$D$52:$R$52,1,MATCH('Official Summary'!J3,'Phase I Pro Forma'!$D$2:$R$2)),0)+IFERROR(INDEX('Phase II Pro Forma'!$D$52:$R$52,1,MATCH('Official Summary'!J3,'Phase II Pro Forma'!$D$2:$R$2)),0)+IFERROR(INDEX('Phase III Pro Forma'!$D$52:$R$52,1,MATCH('Official Summary'!J3,'Phase III Pro Forma'!$D$2:$R$2)),0)/Assumptions!$S$27</f>
        <v>388433.73493975902</v>
      </c>
      <c r="K61" s="362">
        <f>IFERROR(INDEX('Phase I Pro Forma'!$D$52:$R$52,1,MATCH('Official Summary'!K3,'Phase I Pro Forma'!$D$2:$R$2)),0)+IFERROR(INDEX('Phase II Pro Forma'!$D$52:$R$52,1,MATCH('Official Summary'!K3,'Phase II Pro Forma'!$D$2:$R$2)),0)+IFERROR(INDEX('Phase III Pro Forma'!$D$52:$R$52,1,MATCH('Official Summary'!K3,'Phase III Pro Forma'!$D$2:$R$2)),0)/Assumptions!$S$27</f>
        <v>388433.73493975902</v>
      </c>
      <c r="L61" s="435">
        <f>IFERROR(INDEX('Phase I Pro Forma'!$D$52:$R$52,1,MATCH('Official Summary'!L3,'Phase I Pro Forma'!$D$2:$R$2)),0)+IFERROR(INDEX('Phase II Pro Forma'!$D$52:$R$52,1,MATCH('Official Summary'!L3,'Phase II Pro Forma'!$D$2:$R$2)),0)+IFERROR(INDEX('Phase III Pro Forma'!$D$52:$R$52,1,MATCH('Official Summary'!L3,'Phase III Pro Forma'!$D$2:$R$2)),0)/Assumptions!$S$27</f>
        <v>388433.73493975902</v>
      </c>
      <c r="M61" s="435"/>
      <c r="N61" s="362">
        <f>(IFERROR(INDEX('Phase I Pro Forma'!$D$52:$R$52,1,MATCH('Official Summary'!N3,'Phase I Pro Forma'!$D$2:$R$2)),0)+IFERROR(INDEX('Phase II Pro Forma'!$D$52:$R$52,1,MATCH('Official Summary'!N3,'Phase II Pro Forma'!$D$2:$R$2)),0)+IFERROR(INDEX('Phase III Pro Forma'!$D$52:$R$52,1,MATCH('Official Summary'!N3,'Phase III Pro Forma'!$D$2:$R$2)),0))/Assumptions!$S$27</f>
        <v>445783.13253012049</v>
      </c>
    </row>
    <row r="62" spans="1:14" ht="17.100000000000001" customHeight="1">
      <c r="A62" s="355" t="s">
        <v>18</v>
      </c>
      <c r="B62" s="355"/>
      <c r="C62" s="352" t="s">
        <v>51</v>
      </c>
      <c r="D62" s="362">
        <f>IFERROR(INDEX('Phase I Pro Forma'!$D$73:$R$73,1,MATCH('Official Summary'!D3,'Phase I Pro Forma'!$D$2:$R$2)),0)+IFERROR(INDEX('Phase II Pro Forma'!$D$73:$R$73,1,MATCH('Official Summary'!D3,'Phase II Pro Forma'!$D$2:$R$2)),0)+IFERROR(INDEX('Phase III Pro Forma'!$D$73:$R$73,1,MATCH('Official Summary'!D3,'Phase III Pro Forma'!$D$2:$R$2)),0)/Assumptions!$S$32</f>
        <v>0</v>
      </c>
      <c r="E62" s="362">
        <f>IFERROR(INDEX('Phase I Pro Forma'!$D$73:$R$73,1,MATCH('Official Summary'!E3,'Phase I Pro Forma'!$D$2:$R$2)),0)+IFERROR(INDEX('Phase II Pro Forma'!$D$73:$R$73,1,MATCH('Official Summary'!E3,'Phase II Pro Forma'!$D$2:$R$2)),0)+IFERROR(INDEX('Phase III Pro Forma'!$D$73:$R$73,1,MATCH('Official Summary'!E3,'Phase III Pro Forma'!$D$2:$R$2)),0)/Assumptions!$S$32</f>
        <v>0</v>
      </c>
      <c r="F62" s="362">
        <f>IFERROR(INDEX('Phase I Pro Forma'!$D$73:$R$73,1,MATCH('Official Summary'!F3,'Phase I Pro Forma'!$D$2:$R$2)),0)+IFERROR(INDEX('Phase II Pro Forma'!$D$73:$R$73,1,MATCH('Official Summary'!F3,'Phase II Pro Forma'!$D$2:$R$2)),0)+IFERROR(INDEX('Phase III Pro Forma'!$D$73:$R$73,1,MATCH('Official Summary'!F3,'Phase III Pro Forma'!$D$2:$R$2)),0)/Assumptions!$S$32</f>
        <v>40000</v>
      </c>
      <c r="G62" s="362">
        <f>IFERROR(INDEX('Phase I Pro Forma'!$D$73:$R$73,1,MATCH('Official Summary'!G3,'Phase I Pro Forma'!$D$2:$R$2)),0)+IFERROR(INDEX('Phase II Pro Forma'!$D$73:$R$73,1,MATCH('Official Summary'!G3,'Phase II Pro Forma'!$D$2:$R$2)),0)+IFERROR(INDEX('Phase III Pro Forma'!$D$73:$R$73,1,MATCH('Official Summary'!G3,'Phase III Pro Forma'!$D$2:$R$2)),0)/Assumptions!$S$32</f>
        <v>40000</v>
      </c>
      <c r="H62" s="362">
        <f>IFERROR(INDEX('Phase I Pro Forma'!$D$73:$R$73,1,MATCH('Official Summary'!H3,'Phase I Pro Forma'!$D$2:$R$2)),0)+IFERROR(INDEX('Phase II Pro Forma'!$D$73:$R$73,1,MATCH('Official Summary'!H3,'Phase II Pro Forma'!$D$2:$R$2)),0)+IFERROR(INDEX('Phase III Pro Forma'!$D$73:$R$73,1,MATCH('Official Summary'!H3,'Phase III Pro Forma'!$D$2:$R$2)),0)/Assumptions!$S$32</f>
        <v>80000</v>
      </c>
      <c r="I62" s="362">
        <f>IFERROR(INDEX('Phase I Pro Forma'!$D$73:$R$73,1,MATCH('Official Summary'!I3,'Phase I Pro Forma'!$D$2:$R$2)),0)+IFERROR(INDEX('Phase II Pro Forma'!$D$73:$R$73,1,MATCH('Official Summary'!I3,'Phase II Pro Forma'!$D$2:$R$2)),0)+IFERROR(INDEX('Phase III Pro Forma'!$D$73:$R$73,1,MATCH('Official Summary'!I3,'Phase III Pro Forma'!$D$2:$R$2)),0)/Assumptions!$S$32</f>
        <v>120000</v>
      </c>
      <c r="J62" s="362">
        <f>IFERROR(INDEX('Phase I Pro Forma'!$D$73:$R$73,1,MATCH('Official Summary'!J3,'Phase I Pro Forma'!$D$2:$R$2)),0)+IFERROR(INDEX('Phase II Pro Forma'!$D$73:$R$73,1,MATCH('Official Summary'!J3,'Phase II Pro Forma'!$D$2:$R$2)),0)+IFERROR(INDEX('Phase III Pro Forma'!$D$73:$R$73,1,MATCH('Official Summary'!J3,'Phase III Pro Forma'!$D$2:$R$2)),0)/Assumptions!$S$32</f>
        <v>165977.01149425289</v>
      </c>
      <c r="K62" s="362">
        <f>IFERROR(INDEX('Phase I Pro Forma'!$D$73:$R$73,1,MATCH('Official Summary'!K3,'Phase I Pro Forma'!$D$2:$R$2)),0)+IFERROR(INDEX('Phase II Pro Forma'!$D$73:$R$73,1,MATCH('Official Summary'!K3,'Phase II Pro Forma'!$D$2:$R$2)),0)+IFERROR(INDEX('Phase III Pro Forma'!$D$73:$R$73,1,MATCH('Official Summary'!K3,'Phase III Pro Forma'!$D$2:$R$2)),0)/Assumptions!$S$32</f>
        <v>165977.01149425289</v>
      </c>
      <c r="L62" s="435">
        <f>IFERROR(INDEX('Phase I Pro Forma'!$D$73:$R$73,1,MATCH('Official Summary'!L3,'Phase I Pro Forma'!$D$2:$R$2)),0)+IFERROR(INDEX('Phase II Pro Forma'!$D$73:$R$73,1,MATCH('Official Summary'!L3,'Phase II Pro Forma'!$D$2:$R$2)),0)+IFERROR(INDEX('Phase III Pro Forma'!$D$73:$R$73,1,MATCH('Official Summary'!L3,'Phase III Pro Forma'!$D$2:$R$2)),0)/Assumptions!$S$32</f>
        <v>165977.01149425289</v>
      </c>
      <c r="M62" s="435"/>
      <c r="N62" s="362">
        <f>(IFERROR(INDEX('Phase I Pro Forma'!$D$73:$R$73,1,MATCH('Official Summary'!N3,'Phase I Pro Forma'!$D$2:$R$2)),0)+IFERROR(INDEX('Phase II Pro Forma'!$D$73:$R$73,1,MATCH('Official Summary'!N3,'Phase II Pro Forma'!$D$2:$R$2)),0)+IFERROR(INDEX('Phase III Pro Forma'!$D$73:$R$73,1,MATCH('Official Summary'!N3,'Phase III Pro Forma'!$D$2:$R$2)),0))/Assumptions!$S$32</f>
        <v>183908.0459770115</v>
      </c>
    </row>
    <row r="63" spans="1:14">
      <c r="A63" s="355"/>
      <c r="B63" s="355" t="s">
        <v>52</v>
      </c>
      <c r="C63" s="352" t="s">
        <v>51</v>
      </c>
      <c r="D63" s="352">
        <v>0</v>
      </c>
      <c r="E63" s="352">
        <v>0</v>
      </c>
      <c r="F63" s="352">
        <v>0</v>
      </c>
      <c r="G63" s="352">
        <v>0</v>
      </c>
      <c r="H63" s="362">
        <v>200000</v>
      </c>
      <c r="I63" s="362">
        <v>200000</v>
      </c>
      <c r="J63" s="362">
        <v>200000</v>
      </c>
      <c r="K63" s="362">
        <v>200000</v>
      </c>
      <c r="L63" s="435">
        <v>200000</v>
      </c>
      <c r="M63" s="435"/>
      <c r="N63" s="362">
        <v>200000</v>
      </c>
    </row>
    <row r="64" spans="1:14">
      <c r="A64" s="355"/>
      <c r="B64" s="355" t="s">
        <v>53</v>
      </c>
      <c r="C64" s="352" t="s">
        <v>51</v>
      </c>
      <c r="D64" s="352">
        <v>0</v>
      </c>
      <c r="E64" s="352">
        <v>0</v>
      </c>
      <c r="F64" s="352">
        <v>0</v>
      </c>
      <c r="G64" s="352">
        <v>0</v>
      </c>
      <c r="H64" s="362">
        <v>95000</v>
      </c>
      <c r="I64" s="362">
        <v>95000</v>
      </c>
      <c r="J64" s="362">
        <v>95000</v>
      </c>
      <c r="K64" s="362">
        <v>95000</v>
      </c>
      <c r="L64" s="435">
        <v>95000</v>
      </c>
      <c r="M64" s="435"/>
      <c r="N64" s="362">
        <v>95000</v>
      </c>
    </row>
    <row r="65" spans="1:14">
      <c r="A65" s="355" t="s">
        <v>10</v>
      </c>
      <c r="B65" s="355"/>
      <c r="C65" s="352" t="s">
        <v>51</v>
      </c>
      <c r="D65" s="362">
        <f>IFERROR(INDEX('Phase I Pro Forma'!$D$94:$R$94,1,MATCH('Official Summary'!D3,'Phase I Pro Forma'!$D$2:$R$2)),0)+IFERROR(INDEX('Phase II Pro Forma'!$D$94:$R$94,1,MATCH('Official Summary'!D3,'Phase II Pro Forma'!$D$2:$R$2)),0)+IFERROR(INDEX('Phase III Pro Forma'!$D$94:$R$94,1,MATCH('Official Summary'!D3,'Phase III Pro Forma'!$D$2:$R$2)),0)</f>
        <v>0</v>
      </c>
      <c r="E65" s="362">
        <f>IFERROR(INDEX('Phase I Pro Forma'!$D$94:$R$94,1,MATCH('Official Summary'!E3,'Phase I Pro Forma'!$D$2:$R$2)),0)+IFERROR(INDEX('Phase II Pro Forma'!$D$94:$R$94,1,MATCH('Official Summary'!E3,'Phase II Pro Forma'!$D$2:$R$2)),0)+IFERROR(INDEX('Phase III Pro Forma'!$D$94:$R$94,1,MATCH('Official Summary'!E3,'Phase III Pro Forma'!$D$2:$R$2)),0)</f>
        <v>0</v>
      </c>
      <c r="F65" s="362">
        <f>IFERROR(INDEX('Phase I Pro Forma'!$D$94:$R$94,1,MATCH('Official Summary'!F3,'Phase I Pro Forma'!$D$2:$R$2)),0)+IFERROR(INDEX('Phase II Pro Forma'!$D$94:$R$94,1,MATCH('Official Summary'!F3,'Phase II Pro Forma'!$D$2:$R$2)),0)+IFERROR(INDEX('Phase III Pro Forma'!$D$94:$R$94,1,MATCH('Official Summary'!F3,'Phase III Pro Forma'!$D$2:$R$2)),0)</f>
        <v>200000</v>
      </c>
      <c r="G65" s="362">
        <f>IFERROR(INDEX('Phase I Pro Forma'!$D$94:$R$94,1,MATCH('Official Summary'!G3,'Phase I Pro Forma'!$D$2:$R$2)),0)+IFERROR(INDEX('Phase II Pro Forma'!$D$94:$R$94,1,MATCH('Official Summary'!G3,'Phase II Pro Forma'!$D$2:$R$2)),0)+IFERROR(INDEX('Phase III Pro Forma'!$D$94:$R$94,1,MATCH('Official Summary'!G3,'Phase III Pro Forma'!$D$2:$R$2)),0)</f>
        <v>200000</v>
      </c>
      <c r="H65" s="362">
        <f>IFERROR(INDEX('Phase I Pro Forma'!$D$94:$R$94,1,MATCH('Official Summary'!H3,'Phase I Pro Forma'!$D$2:$R$2)),0)+IFERROR(INDEX('Phase II Pro Forma'!$D$94:$R$94,1,MATCH('Official Summary'!H3,'Phase II Pro Forma'!$D$2:$R$2)),0)+IFERROR(INDEX('Phase III Pro Forma'!$D$94:$R$94,1,MATCH('Official Summary'!H3,'Phase III Pro Forma'!$D$2:$R$2)),0)</f>
        <v>500000</v>
      </c>
      <c r="I65" s="362">
        <f>IFERROR(INDEX('Phase I Pro Forma'!$D$94:$R$94,1,MATCH('Official Summary'!I3,'Phase I Pro Forma'!$D$2:$R$2)),0)+IFERROR(INDEX('Phase II Pro Forma'!$D$94:$R$94,1,MATCH('Official Summary'!I3,'Phase II Pro Forma'!$D$2:$R$2)),0)+IFERROR(INDEX('Phase III Pro Forma'!$D$94:$R$94,1,MATCH('Official Summary'!I3,'Phase III Pro Forma'!$D$2:$R$2)),0)</f>
        <v>500000</v>
      </c>
      <c r="J65" s="362">
        <f>IFERROR(INDEX('Phase I Pro Forma'!$D$94:$R$94,1,MATCH('Official Summary'!J3,'Phase I Pro Forma'!$D$2:$R$2)),0)+IFERROR(INDEX('Phase II Pro Forma'!$D$94:$R$94,1,MATCH('Official Summary'!J3,'Phase II Pro Forma'!$D$2:$R$2)),0)+IFERROR(INDEX('Phase III Pro Forma'!$D$94:$R$94,1,MATCH('Official Summary'!J3,'Phase III Pro Forma'!$D$2:$R$2)),0)</f>
        <v>500000</v>
      </c>
      <c r="K65" s="362">
        <f>IFERROR(INDEX('Phase I Pro Forma'!$D$94:$R$94,1,MATCH('Official Summary'!K3,'Phase I Pro Forma'!$D$2:$R$2)),0)+IFERROR(INDEX('Phase II Pro Forma'!$D$94:$R$94,1,MATCH('Official Summary'!K3,'Phase II Pro Forma'!$D$2:$R$2)),0)+IFERROR(INDEX('Phase III Pro Forma'!$D$94:$R$94,1,MATCH('Official Summary'!K3,'Phase III Pro Forma'!$D$2:$R$2)),0)</f>
        <v>500000</v>
      </c>
      <c r="L65" s="435">
        <f>IFERROR(INDEX('Phase I Pro Forma'!$D$94:$R$94,1,MATCH('Official Summary'!L3,'Phase I Pro Forma'!$D$2:$R$2)),0)+IFERROR(INDEX('Phase II Pro Forma'!$D$94:$R$94,1,MATCH('Official Summary'!L3,'Phase II Pro Forma'!$D$2:$R$2)),0)+IFERROR(INDEX('Phase III Pro Forma'!$D$94:$R$94,1,MATCH('Official Summary'!L3,'Phase III Pro Forma'!$D$2:$R$2)),0)</f>
        <v>500000</v>
      </c>
      <c r="M65" s="435"/>
      <c r="N65" s="362">
        <f>IFERROR(INDEX('Phase I Pro Forma'!$D$94:$R$94,1,MATCH('Official Summary'!N3,'Phase I Pro Forma'!$D$2:$R$2)),0)+IFERROR(INDEX('Phase II Pro Forma'!$D$94:$R$94,1,MATCH('Official Summary'!N3,'Phase II Pro Forma'!$D$2:$R$2)),0)+IFERROR(INDEX('Phase III Pro Forma'!$D$94:$R$94,1,MATCH('Official Summary'!N3,'Phase III Pro Forma'!$D$2:$R$2)),0)</f>
        <v>500000</v>
      </c>
    </row>
    <row r="66" spans="1:14">
      <c r="A66" s="359" t="s">
        <v>54</v>
      </c>
      <c r="B66" s="359"/>
      <c r="C66" s="352" t="s">
        <v>51</v>
      </c>
      <c r="D66" s="362">
        <f>SUM(D59:D65)</f>
        <v>0</v>
      </c>
      <c r="E66" s="362">
        <f>SUM(E59:E65)</f>
        <v>0</v>
      </c>
      <c r="F66" s="362">
        <f>SUM(F59:F65)</f>
        <v>644323.5294117647</v>
      </c>
      <c r="G66" s="362">
        <f>SUM(G59:G65)</f>
        <v>734323.5294117647</v>
      </c>
      <c r="H66" s="362">
        <f>SUM(H59:H65)</f>
        <v>1810723.5294117648</v>
      </c>
      <c r="I66" s="362">
        <f>SUM(I59:I65)</f>
        <v>2038223.5294117648</v>
      </c>
      <c r="J66" s="362">
        <f>SUM(J59:J65)</f>
        <v>2523309.2758457768</v>
      </c>
      <c r="K66" s="362">
        <f>SUM(K59:K65)</f>
        <v>2523309.2758457768</v>
      </c>
      <c r="L66" s="435">
        <f>SUM(L59:L65)</f>
        <v>2523309.2758457768</v>
      </c>
      <c r="M66" s="435"/>
      <c r="N66" s="362">
        <f>SUM(N59:N65)</f>
        <v>2598589.7079188968</v>
      </c>
    </row>
    <row r="67" spans="1:14">
      <c r="A67" s="350"/>
      <c r="B67" s="350"/>
      <c r="C67" s="352"/>
      <c r="D67" s="350"/>
      <c r="E67" s="350"/>
      <c r="F67" s="350"/>
      <c r="G67" s="350"/>
      <c r="H67" s="350"/>
      <c r="I67" s="350"/>
      <c r="J67" s="350"/>
      <c r="K67" s="350"/>
      <c r="L67" s="350"/>
      <c r="M67" s="350"/>
      <c r="N67" s="350"/>
    </row>
    <row r="68" spans="1:14">
      <c r="A68" s="412" t="s">
        <v>55</v>
      </c>
      <c r="B68" s="412"/>
      <c r="C68" s="347"/>
      <c r="D68" s="347"/>
      <c r="E68" s="347"/>
      <c r="F68" s="347"/>
      <c r="G68" s="354"/>
      <c r="H68" s="461" t="s">
        <v>56</v>
      </c>
      <c r="I68" s="462"/>
      <c r="J68" s="462"/>
      <c r="K68" s="462"/>
      <c r="L68" s="462"/>
      <c r="M68" s="462"/>
      <c r="N68" s="462"/>
    </row>
    <row r="69" spans="1:14" ht="17.100000000000001" thickBot="1">
      <c r="A69" s="405" t="s">
        <v>16</v>
      </c>
      <c r="B69" s="406"/>
      <c r="C69" s="463" t="s">
        <v>57</v>
      </c>
      <c r="D69" s="464"/>
      <c r="E69" s="463" t="s">
        <v>58</v>
      </c>
      <c r="F69" s="464"/>
      <c r="G69" s="363"/>
      <c r="H69" s="463" t="s">
        <v>59</v>
      </c>
      <c r="I69" s="465"/>
      <c r="J69" s="465"/>
      <c r="K69" s="463" t="s">
        <v>60</v>
      </c>
      <c r="L69" s="463"/>
      <c r="M69" s="463" t="s">
        <v>61</v>
      </c>
      <c r="N69" s="464"/>
    </row>
    <row r="70" spans="1:14">
      <c r="A70" s="355" t="s">
        <v>6</v>
      </c>
      <c r="C70" s="458">
        <f ca="1">Budget!L60</f>
        <v>601267.07580179372</v>
      </c>
      <c r="D70" s="459"/>
      <c r="E70" s="438">
        <f ca="1">Budget!L55</f>
        <v>511077014.43152463</v>
      </c>
      <c r="F70" s="438"/>
      <c r="G70" s="350"/>
      <c r="H70" s="460" t="s">
        <v>62</v>
      </c>
      <c r="I70" s="483"/>
      <c r="J70" s="483"/>
      <c r="K70" s="393"/>
      <c r="L70" s="393"/>
      <c r="M70" s="394"/>
      <c r="N70" s="395"/>
    </row>
    <row r="71" spans="1:14">
      <c r="A71" s="355" t="s">
        <v>7</v>
      </c>
      <c r="C71" s="458">
        <f ca="1">Budget!K60</f>
        <v>453666.10673647816</v>
      </c>
      <c r="D71" s="459"/>
      <c r="E71" s="438">
        <f ca="1">Budget!K55</f>
        <v>216852399.02003655</v>
      </c>
      <c r="F71" s="438"/>
      <c r="G71" s="350"/>
      <c r="H71" s="396" t="s">
        <v>63</v>
      </c>
      <c r="I71" s="364"/>
      <c r="J71" s="364"/>
      <c r="K71" s="438">
        <f ca="1">'Sources&amp;Uses'!I3</f>
        <v>151222517.13619739</v>
      </c>
      <c r="L71" s="438"/>
      <c r="M71" s="433">
        <f ca="1">K71/$K$85</f>
        <v>0.12059013880585355</v>
      </c>
      <c r="N71" s="434"/>
    </row>
    <row r="72" spans="1:14">
      <c r="A72" s="355" t="s">
        <v>8</v>
      </c>
      <c r="B72" s="350"/>
      <c r="C72" s="456">
        <f ca="1">Budget!M58</f>
        <v>678.25620932849722</v>
      </c>
      <c r="D72" s="457"/>
      <c r="E72" s="438">
        <f ca="1">Budget!M55</f>
        <v>302355177.65246266</v>
      </c>
      <c r="F72" s="438"/>
      <c r="G72" s="350"/>
      <c r="H72" s="396"/>
      <c r="I72" s="364"/>
      <c r="J72" s="364"/>
      <c r="K72" s="448"/>
      <c r="L72" s="448"/>
      <c r="M72" s="364"/>
      <c r="N72" s="397"/>
    </row>
    <row r="73" spans="1:14">
      <c r="A73" s="355" t="s">
        <v>18</v>
      </c>
      <c r="B73" s="350"/>
      <c r="C73" s="456">
        <f ca="1">Budget!N58</f>
        <v>429.43900340815134</v>
      </c>
      <c r="D73" s="457"/>
      <c r="E73" s="438">
        <f ca="1">Budget!N55</f>
        <v>78977287.983108297</v>
      </c>
      <c r="F73" s="438"/>
      <c r="G73" s="350"/>
      <c r="H73" s="484" t="s">
        <v>64</v>
      </c>
      <c r="I73" s="485"/>
      <c r="J73" s="485"/>
      <c r="K73" s="448"/>
      <c r="L73" s="448"/>
      <c r="M73" s="364"/>
      <c r="N73" s="397"/>
    </row>
    <row r="74" spans="1:14">
      <c r="A74" s="355" t="s">
        <v>10</v>
      </c>
      <c r="B74" s="350"/>
      <c r="C74" s="454">
        <f ca="1">Budget!O60</f>
        <v>115806.9695442848</v>
      </c>
      <c r="D74" s="455"/>
      <c r="E74" s="438">
        <f ca="1">Budget!O55</f>
        <v>144758711.930356</v>
      </c>
      <c r="F74" s="438"/>
      <c r="G74" s="350"/>
      <c r="H74" s="398" t="s">
        <v>65</v>
      </c>
      <c r="I74" s="364"/>
      <c r="J74" s="364"/>
      <c r="K74" s="438">
        <f ca="1">'Sources&amp;Uses'!I11</f>
        <v>815113384.16136718</v>
      </c>
      <c r="L74" s="438"/>
      <c r="M74" s="433">
        <f ca="1">K74/$K$85</f>
        <v>0.65</v>
      </c>
      <c r="N74" s="434"/>
    </row>
    <row r="75" spans="1:14">
      <c r="A75" s="355"/>
      <c r="B75" s="355"/>
      <c r="C75" s="453"/>
      <c r="D75" s="485"/>
      <c r="E75" s="453"/>
      <c r="F75" s="485"/>
      <c r="G75" s="350"/>
      <c r="H75" s="398"/>
      <c r="I75" s="364"/>
      <c r="J75" s="364"/>
      <c r="K75" s="356"/>
      <c r="L75" s="356"/>
      <c r="M75" s="368"/>
      <c r="N75" s="397"/>
    </row>
    <row r="76" spans="1:14">
      <c r="A76" s="410" t="s">
        <v>66</v>
      </c>
      <c r="B76" s="407" t="s">
        <v>67</v>
      </c>
      <c r="C76" s="451" t="s">
        <v>68</v>
      </c>
      <c r="D76" s="451"/>
      <c r="E76" s="452" t="s">
        <v>69</v>
      </c>
      <c r="F76" s="452"/>
      <c r="G76" s="350"/>
      <c r="H76" s="398"/>
      <c r="I76" s="364"/>
      <c r="J76" s="364"/>
      <c r="K76" s="356"/>
      <c r="L76" s="356"/>
      <c r="M76" s="368"/>
      <c r="N76" s="397"/>
    </row>
    <row r="77" spans="1:14">
      <c r="A77" s="367" t="s">
        <v>70</v>
      </c>
      <c r="B77" s="366">
        <f ca="1">'Public and Infrastructure'!AB4</f>
        <v>0</v>
      </c>
      <c r="C77" s="447">
        <f ca="1">'Public and Infrastructure'!AC4</f>
        <v>6604875</v>
      </c>
      <c r="D77" s="447"/>
      <c r="E77" s="439">
        <f ca="1">'Public and Infrastructure'!AD4</f>
        <v>2201625</v>
      </c>
      <c r="F77" s="439"/>
      <c r="G77" s="350"/>
      <c r="H77" s="398"/>
      <c r="I77" s="364"/>
      <c r="J77" s="364"/>
      <c r="K77" s="448"/>
      <c r="L77" s="448"/>
      <c r="M77" s="364"/>
      <c r="N77" s="397"/>
    </row>
    <row r="78" spans="1:14">
      <c r="A78" s="367" t="s">
        <v>71</v>
      </c>
      <c r="B78" s="366">
        <f ca="1">'Public and Infrastructure'!AB5</f>
        <v>0</v>
      </c>
      <c r="C78" s="447">
        <f ca="1">'Public and Infrastructure'!AC5</f>
        <v>3912550.0007624994</v>
      </c>
      <c r="D78" s="447"/>
      <c r="E78" s="439">
        <f ca="1">'Public and Infrastructure'!AD5</f>
        <v>1304183.3335874998</v>
      </c>
      <c r="F78" s="439"/>
      <c r="G78" s="350"/>
      <c r="H78" s="484" t="s">
        <v>72</v>
      </c>
      <c r="I78" s="485"/>
      <c r="J78" s="485"/>
      <c r="K78" s="448"/>
      <c r="L78" s="448"/>
      <c r="M78" s="364"/>
      <c r="N78" s="397"/>
    </row>
    <row r="79" spans="1:14">
      <c r="A79" s="367" t="s">
        <v>73</v>
      </c>
      <c r="B79" s="366">
        <f ca="1">'Public and Infrastructure'!AB6</f>
        <v>11717998.425000001</v>
      </c>
      <c r="C79" s="447">
        <f ca="1">'Public and Infrastructure'!AC6</f>
        <v>5858999.2125000004</v>
      </c>
      <c r="D79" s="447"/>
      <c r="E79" s="439">
        <f ca="1">'Public and Infrastructure'!AD6</f>
        <v>5858999.2125000004</v>
      </c>
      <c r="F79" s="439"/>
      <c r="G79" s="350"/>
      <c r="H79" s="398" t="s">
        <v>74</v>
      </c>
      <c r="I79" s="364"/>
      <c r="J79" s="364"/>
      <c r="K79" s="438">
        <f ca="1">'Sources&amp;Uses'!I6</f>
        <v>176895388.6785211</v>
      </c>
      <c r="L79" s="438"/>
      <c r="M79" s="433">
        <f ca="1">K79/$K$85</f>
        <v>0.1410625869667671</v>
      </c>
      <c r="N79" s="434"/>
    </row>
    <row r="80" spans="1:14">
      <c r="A80" s="367" t="s">
        <v>75</v>
      </c>
      <c r="B80" s="366">
        <f ca="1">'Public and Infrastructure'!AB8</f>
        <v>0</v>
      </c>
      <c r="C80" s="447">
        <f ca="1">'Public and Infrastructure'!AC8</f>
        <v>2789717.5579526308</v>
      </c>
      <c r="D80" s="447"/>
      <c r="E80" s="439">
        <f ca="1">'Public and Infrastructure'!AD8</f>
        <v>0</v>
      </c>
      <c r="F80" s="439"/>
      <c r="G80" s="350"/>
      <c r="H80" s="398" t="s">
        <v>76</v>
      </c>
      <c r="I80" s="364"/>
      <c r="J80" s="364"/>
      <c r="K80" s="438">
        <f ca="1">'Sources&amp;Uses'!I12</f>
        <v>56095891.770883963</v>
      </c>
      <c r="L80" s="438"/>
      <c r="M80" s="433">
        <f ca="1">K80/$K$85</f>
        <v>4.4732831480357782E-2</v>
      </c>
      <c r="N80" s="434"/>
    </row>
    <row r="81" spans="1:14">
      <c r="A81" s="367" t="s">
        <v>77</v>
      </c>
      <c r="B81" s="366">
        <f ca="1">'Public and Infrastructure'!AB9</f>
        <v>0</v>
      </c>
      <c r="C81" s="447">
        <f ca="1">'Public and Infrastructure'!AC9</f>
        <v>2308465.6124999998</v>
      </c>
      <c r="D81" s="447"/>
      <c r="E81" s="439">
        <f ca="1">'Public and Infrastructure'!AD9</f>
        <v>0</v>
      </c>
      <c r="F81" s="439"/>
      <c r="G81" s="350"/>
      <c r="H81" s="398" t="s">
        <v>78</v>
      </c>
      <c r="I81" s="364"/>
      <c r="J81" s="364"/>
      <c r="K81" s="438">
        <f>'Sources&amp;Uses'!I8</f>
        <v>5000000</v>
      </c>
      <c r="L81" s="438"/>
      <c r="M81" s="449">
        <f ca="1">K81/$K$85</f>
        <v>3.9871753588536351E-3</v>
      </c>
      <c r="N81" s="450"/>
    </row>
    <row r="82" spans="1:14" ht="17.100000000000001" thickBot="1">
      <c r="A82" s="345"/>
      <c r="B82" s="366"/>
      <c r="C82" s="366"/>
      <c r="D82" s="366"/>
      <c r="E82" s="365"/>
      <c r="F82" s="365"/>
      <c r="G82" s="350"/>
      <c r="H82" s="398" t="s">
        <v>79</v>
      </c>
      <c r="I82" s="364"/>
      <c r="J82" s="364"/>
      <c r="K82" s="438">
        <f>'Sources&amp;Uses'!I10</f>
        <v>4500000</v>
      </c>
      <c r="L82" s="438"/>
      <c r="M82" s="449">
        <f ca="1">K82/$K$85</f>
        <v>3.5884578229682714E-3</v>
      </c>
      <c r="N82" s="450"/>
    </row>
    <row r="83" spans="1:14">
      <c r="A83" s="387" t="s">
        <v>80</v>
      </c>
      <c r="B83" s="388"/>
      <c r="C83" s="389"/>
      <c r="D83" s="389"/>
      <c r="E83" s="436">
        <f>Budget!H9</f>
        <v>100059667</v>
      </c>
      <c r="F83" s="437"/>
      <c r="G83" s="350"/>
      <c r="H83" s="398" t="s">
        <v>81</v>
      </c>
      <c r="I83" s="364"/>
      <c r="J83" s="364"/>
      <c r="K83" s="438">
        <f ca="1">'Sources&amp;Uses'!I4</f>
        <v>35688600.324430957</v>
      </c>
      <c r="L83" s="438"/>
      <c r="M83" s="433">
        <f ca="1">K83/$K$85</f>
        <v>2.8459341561109391E-2</v>
      </c>
      <c r="N83" s="434"/>
    </row>
    <row r="84" spans="1:14">
      <c r="A84" s="390" t="s">
        <v>82</v>
      </c>
      <c r="B84" s="366"/>
      <c r="C84" s="439"/>
      <c r="D84" s="439"/>
      <c r="E84" s="439">
        <f ca="1">SUM(B77:F81)</f>
        <v>42557413.354802623</v>
      </c>
      <c r="F84" s="440"/>
      <c r="G84" s="350"/>
      <c r="H84" s="398" t="s">
        <v>83</v>
      </c>
      <c r="I84" s="364"/>
      <c r="J84" s="364"/>
      <c r="K84" s="438">
        <f ca="1">'Sources&amp;Uses'!I5</f>
        <v>9504808.9460875001</v>
      </c>
      <c r="L84" s="438"/>
      <c r="M84" s="433">
        <f ca="1">K84/$K$85</f>
        <v>7.5794680040903338E-3</v>
      </c>
      <c r="N84" s="434"/>
    </row>
    <row r="85" spans="1:14" ht="17.100000000000001" thickBot="1">
      <c r="A85" s="391" t="s">
        <v>23</v>
      </c>
      <c r="B85" s="392"/>
      <c r="C85" s="441"/>
      <c r="D85" s="441"/>
      <c r="E85" s="442">
        <f ca="1">Budget!H55</f>
        <v>1254020591.017488</v>
      </c>
      <c r="F85" s="443"/>
      <c r="G85" s="350"/>
      <c r="H85" s="444" t="s">
        <v>54</v>
      </c>
      <c r="I85" s="486"/>
      <c r="J85" s="486"/>
      <c r="K85" s="445">
        <f ca="1">SUM(K79:L84,K74,K71)</f>
        <v>1254020591.017488</v>
      </c>
      <c r="L85" s="445"/>
      <c r="M85" s="446">
        <v>1</v>
      </c>
      <c r="N85" s="443"/>
    </row>
    <row r="86" spans="1:14">
      <c r="A86" s="359"/>
      <c r="G86" s="350"/>
    </row>
    <row r="87" spans="1:14">
      <c r="G87" s="350"/>
    </row>
    <row r="88" spans="1:14">
      <c r="G88" s="350"/>
    </row>
  </sheetData>
  <mergeCells count="104">
    <mergeCell ref="L3:M3"/>
    <mergeCell ref="L4:M4"/>
    <mergeCell ref="L6:M6"/>
    <mergeCell ref="L5:M5"/>
    <mergeCell ref="A22:B22"/>
    <mergeCell ref="A20:B20"/>
    <mergeCell ref="A21:B21"/>
    <mergeCell ref="L13:M13"/>
    <mergeCell ref="L14:M14"/>
    <mergeCell ref="A11:B11"/>
    <mergeCell ref="L12:M12"/>
    <mergeCell ref="A9:B9"/>
    <mergeCell ref="A7:B7"/>
    <mergeCell ref="L7:M7"/>
    <mergeCell ref="A8:B8"/>
    <mergeCell ref="L8:M8"/>
    <mergeCell ref="A36:B36"/>
    <mergeCell ref="L36:M36"/>
    <mergeCell ref="L37:M37"/>
    <mergeCell ref="L45:M45"/>
    <mergeCell ref="L32:M32"/>
    <mergeCell ref="A33:B33"/>
    <mergeCell ref="L33:M33"/>
    <mergeCell ref="A35:B35"/>
    <mergeCell ref="L35:M35"/>
    <mergeCell ref="L34:M34"/>
    <mergeCell ref="C69:D69"/>
    <mergeCell ref="E69:F69"/>
    <mergeCell ref="H69:J69"/>
    <mergeCell ref="K69:L69"/>
    <mergeCell ref="M69:N69"/>
    <mergeCell ref="L65:M65"/>
    <mergeCell ref="L61:M61"/>
    <mergeCell ref="L62:M62"/>
    <mergeCell ref="L58:M58"/>
    <mergeCell ref="L59:M59"/>
    <mergeCell ref="L60:M60"/>
    <mergeCell ref="C76:D76"/>
    <mergeCell ref="E76:F76"/>
    <mergeCell ref="C81:D81"/>
    <mergeCell ref="E81:F81"/>
    <mergeCell ref="E70:F70"/>
    <mergeCell ref="M81:N81"/>
    <mergeCell ref="C75:D75"/>
    <mergeCell ref="E75:F75"/>
    <mergeCell ref="C74:D74"/>
    <mergeCell ref="K74:L74"/>
    <mergeCell ref="M74:N74"/>
    <mergeCell ref="C73:D73"/>
    <mergeCell ref="H73:J73"/>
    <mergeCell ref="K73:L73"/>
    <mergeCell ref="C72:D72"/>
    <mergeCell ref="K72:L72"/>
    <mergeCell ref="K71:L71"/>
    <mergeCell ref="C71:D71"/>
    <mergeCell ref="C70:D70"/>
    <mergeCell ref="H70:J70"/>
    <mergeCell ref="C80:D80"/>
    <mergeCell ref="E80:F80"/>
    <mergeCell ref="K81:L81"/>
    <mergeCell ref="K82:L82"/>
    <mergeCell ref="C79:D79"/>
    <mergeCell ref="E79:F79"/>
    <mergeCell ref="K79:L79"/>
    <mergeCell ref="K80:L80"/>
    <mergeCell ref="C77:D77"/>
    <mergeCell ref="E77:F77"/>
    <mergeCell ref="K77:L77"/>
    <mergeCell ref="C78:D78"/>
    <mergeCell ref="E78:F78"/>
    <mergeCell ref="H78:J78"/>
    <mergeCell ref="K78:L78"/>
    <mergeCell ref="C84:D84"/>
    <mergeCell ref="E84:F84"/>
    <mergeCell ref="K83:L83"/>
    <mergeCell ref="M83:N83"/>
    <mergeCell ref="C85:D85"/>
    <mergeCell ref="E85:F85"/>
    <mergeCell ref="H85:J85"/>
    <mergeCell ref="K85:L85"/>
    <mergeCell ref="M85:N85"/>
    <mergeCell ref="M84:N84"/>
    <mergeCell ref="M80:N80"/>
    <mergeCell ref="M79:N79"/>
    <mergeCell ref="M71:N71"/>
    <mergeCell ref="L63:M63"/>
    <mergeCell ref="L64:M64"/>
    <mergeCell ref="E83:F83"/>
    <mergeCell ref="K84:L84"/>
    <mergeCell ref="L9:M9"/>
    <mergeCell ref="E71:F71"/>
    <mergeCell ref="E72:F72"/>
    <mergeCell ref="E73:F73"/>
    <mergeCell ref="E74:F74"/>
    <mergeCell ref="M82:N82"/>
    <mergeCell ref="L66:M66"/>
    <mergeCell ref="H68:N68"/>
    <mergeCell ref="L55:M55"/>
    <mergeCell ref="L56:M56"/>
    <mergeCell ref="L47:M47"/>
    <mergeCell ref="L48:M48"/>
    <mergeCell ref="L52:M52"/>
    <mergeCell ref="L53:M53"/>
    <mergeCell ref="L54:M54"/>
  </mergeCells>
  <pageMargins left="0.7" right="0.7" top="0.75" bottom="0.75" header="0.3" footer="0.3"/>
  <pageSetup paperSize="3" scale="52" orientation="portrait" horizontalDpi="0" verticalDpi="0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B0658-724A-7840-BD8A-4BC505EC44E7}">
  <sheetPr>
    <tabColor theme="9"/>
  </sheetPr>
  <dimension ref="A1:R430"/>
  <sheetViews>
    <sheetView zoomScale="87" workbookViewId="0"/>
  </sheetViews>
  <sheetFormatPr defaultColWidth="10.875" defaultRowHeight="15.95"/>
  <cols>
    <col min="1" max="1" width="10.875" style="1"/>
    <col min="2" max="2" width="72" style="1" bestFit="1" customWidth="1"/>
    <col min="3" max="3" width="14.125" style="1" customWidth="1"/>
    <col min="4" max="4" width="22" style="1" bestFit="1" customWidth="1"/>
    <col min="5" max="7" width="12.875" style="1" bestFit="1" customWidth="1"/>
    <col min="8" max="8" width="14.875" style="1" bestFit="1" customWidth="1"/>
    <col min="9" max="12" width="14.625" style="1" bestFit="1" customWidth="1"/>
    <col min="13" max="13" width="20" style="1" bestFit="1" customWidth="1"/>
    <col min="14" max="14" width="14.625" style="1" bestFit="1" customWidth="1"/>
    <col min="15" max="18" width="12.125" style="1" bestFit="1" customWidth="1"/>
    <col min="19" max="16384" width="10.875" style="1"/>
  </cols>
  <sheetData>
    <row r="1" spans="1:18">
      <c r="A1" s="76" t="s">
        <v>206</v>
      </c>
      <c r="E1" s="23">
        <v>1</v>
      </c>
      <c r="F1" s="23">
        <f>E1+1</f>
        <v>2</v>
      </c>
      <c r="G1" s="23">
        <f t="shared" ref="G1:N1" si="0">F1+1</f>
        <v>3</v>
      </c>
      <c r="H1" s="23">
        <f t="shared" si="0"/>
        <v>4</v>
      </c>
      <c r="I1" s="23">
        <f t="shared" si="0"/>
        <v>5</v>
      </c>
      <c r="J1" s="23">
        <f t="shared" si="0"/>
        <v>6</v>
      </c>
      <c r="K1" s="23">
        <f t="shared" si="0"/>
        <v>7</v>
      </c>
      <c r="L1" s="23">
        <f t="shared" si="0"/>
        <v>8</v>
      </c>
      <c r="M1" s="23">
        <f t="shared" si="0"/>
        <v>9</v>
      </c>
      <c r="N1" s="23">
        <f t="shared" si="0"/>
        <v>10</v>
      </c>
      <c r="O1" s="23">
        <f t="shared" ref="O1:R1" si="1">N1+1</f>
        <v>11</v>
      </c>
      <c r="P1" s="23">
        <f t="shared" si="1"/>
        <v>12</v>
      </c>
      <c r="Q1" s="23">
        <f t="shared" si="1"/>
        <v>13</v>
      </c>
      <c r="R1" s="23">
        <f t="shared" si="1"/>
        <v>14</v>
      </c>
    </row>
    <row r="2" spans="1:18">
      <c r="B2" s="278"/>
      <c r="C2" s="278"/>
      <c r="D2" s="279">
        <f>YEAR(D3)</f>
        <v>2024</v>
      </c>
      <c r="E2" s="279">
        <f t="shared" ref="E2:N2" si="2">YEAR(E3)</f>
        <v>2025</v>
      </c>
      <c r="F2" s="279">
        <f t="shared" si="2"/>
        <v>2026</v>
      </c>
      <c r="G2" s="279">
        <f t="shared" si="2"/>
        <v>2027</v>
      </c>
      <c r="H2" s="279">
        <f t="shared" si="2"/>
        <v>2028</v>
      </c>
      <c r="I2" s="279">
        <f t="shared" si="2"/>
        <v>2029</v>
      </c>
      <c r="J2" s="279">
        <f t="shared" si="2"/>
        <v>2030</v>
      </c>
      <c r="K2" s="279">
        <f t="shared" si="2"/>
        <v>2031</v>
      </c>
      <c r="L2" s="279">
        <f t="shared" si="2"/>
        <v>2032</v>
      </c>
      <c r="M2" s="279">
        <f t="shared" si="2"/>
        <v>2033</v>
      </c>
      <c r="N2" s="279">
        <f t="shared" si="2"/>
        <v>2034</v>
      </c>
      <c r="O2" s="279">
        <f t="shared" ref="O2" si="3">YEAR(O3)</f>
        <v>2035</v>
      </c>
      <c r="P2" s="279">
        <f t="shared" ref="P2" si="4">YEAR(P3)</f>
        <v>2036</v>
      </c>
      <c r="Q2" s="279">
        <f t="shared" ref="Q2" si="5">YEAR(Q3)</f>
        <v>2037</v>
      </c>
      <c r="R2" s="279">
        <f t="shared" ref="R2" si="6">YEAR(R3)</f>
        <v>2038</v>
      </c>
    </row>
    <row r="3" spans="1:18" ht="18">
      <c r="B3" s="302" t="s">
        <v>118</v>
      </c>
      <c r="C3" s="280"/>
      <c r="D3" s="281">
        <f>(Assumptions!D5)</f>
        <v>45657</v>
      </c>
      <c r="E3" s="281">
        <f>EOMONTH(D3,12)</f>
        <v>46022</v>
      </c>
      <c r="F3" s="281">
        <f t="shared" ref="F3:N3" si="7">EOMONTH(E3,12)</f>
        <v>46387</v>
      </c>
      <c r="G3" s="281">
        <f t="shared" si="7"/>
        <v>46752</v>
      </c>
      <c r="H3" s="281">
        <f t="shared" si="7"/>
        <v>47118</v>
      </c>
      <c r="I3" s="281">
        <f t="shared" si="7"/>
        <v>47483</v>
      </c>
      <c r="J3" s="281">
        <f t="shared" si="7"/>
        <v>47848</v>
      </c>
      <c r="K3" s="281">
        <f t="shared" si="7"/>
        <v>48213</v>
      </c>
      <c r="L3" s="281">
        <f t="shared" si="7"/>
        <v>48579</v>
      </c>
      <c r="M3" s="281">
        <f t="shared" si="7"/>
        <v>48944</v>
      </c>
      <c r="N3" s="281">
        <f t="shared" si="7"/>
        <v>49309</v>
      </c>
      <c r="O3" s="281">
        <f t="shared" ref="O3:R3" si="8">EOMONTH(N3,12)</f>
        <v>49674</v>
      </c>
      <c r="P3" s="281">
        <f t="shared" si="8"/>
        <v>50040</v>
      </c>
      <c r="Q3" s="281">
        <f t="shared" si="8"/>
        <v>50405</v>
      </c>
      <c r="R3" s="281">
        <f t="shared" si="8"/>
        <v>50770</v>
      </c>
    </row>
    <row r="4" spans="1:18">
      <c r="B4" s="134"/>
      <c r="C4" s="134"/>
    </row>
    <row r="5" spans="1:18">
      <c r="B5" s="123" t="s">
        <v>408</v>
      </c>
      <c r="C5" s="123"/>
      <c r="D5" s="91">
        <f>+IF(AND(D3&gt;=Housing!$D$15,D3&lt;Housing!$D$17),Assumptions!$H$38/ROUNDUP((Housing!$D$16/12),0),0)</f>
        <v>0</v>
      </c>
      <c r="E5" s="91">
        <f>+IF(AND(E3&gt;=Housing!$D$15,E3&lt;Housing!$D$17),Assumptions!$H$38/ROUNDUP((Housing!$D$16/12),0),0)</f>
        <v>0</v>
      </c>
      <c r="F5" s="91">
        <f>+IF(AND(F3&gt;=Housing!$D$15,F3&lt;Housing!$D$17),Assumptions!$H$38/ROUNDUP((Housing!$D$16/12),0),0)</f>
        <v>0</v>
      </c>
      <c r="G5" s="91">
        <f>+IF(AND(G3&gt;=Housing!$D$15,G3&lt;Housing!$D$17),Assumptions!$H$38/ROUNDUP((Housing!$D$16/12),0),0)</f>
        <v>0</v>
      </c>
      <c r="H5" s="91">
        <f>+IF(AND(H3&gt;=Housing!$D$15,H3&lt;Housing!$D$17),Assumptions!$H$38/ROUNDUP((Housing!$D$16/12),0),0)</f>
        <v>130815</v>
      </c>
      <c r="I5" s="91">
        <f>+IF(AND(I3&gt;=Housing!$D$15,I3&lt;Housing!$D$17),Assumptions!$H$38/ROUNDUP((Housing!$D$16/12),0),0)</f>
        <v>0</v>
      </c>
      <c r="J5" s="91">
        <f>+IF(AND(J3&gt;=Housing!$D$15,J3&lt;Housing!$D$17),Assumptions!$H$38/ROUNDUP((Housing!$D$16/12),0),0)</f>
        <v>0</v>
      </c>
      <c r="K5" s="91">
        <f>+IF(AND(K3&gt;=Housing!$D$15,K3&lt;Housing!$D$17),Assumptions!$H$38/ROUNDUP((Housing!$D$16/12),0),0)</f>
        <v>0</v>
      </c>
      <c r="L5" s="91">
        <f>+IF(AND(L3&gt;=Housing!$D$15,L3&lt;Housing!$D$17),Assumptions!$H$38/ROUNDUP((Housing!$D$16/12),0),0)</f>
        <v>0</v>
      </c>
      <c r="M5" s="91">
        <f>+IF(AND(M3&gt;=Housing!$D$15,M3&lt;Housing!$D$17),Assumptions!$H$38/ROUNDUP((Housing!$D$16/12),0),0)</f>
        <v>0</v>
      </c>
      <c r="N5" s="91">
        <f>+IF(AND(N3&gt;=Housing!$D$15,N3&lt;Housing!$D$17),Assumptions!$H$38/ROUNDUP((Housing!$D$16/12),0),0)</f>
        <v>0</v>
      </c>
      <c r="O5" s="91">
        <f>+IF(AND(O3&gt;=Housing!$D$15,O3&lt;Housing!$D$17),Assumptions!$H$38/ROUNDUP((Housing!$D$16/12),0),0)</f>
        <v>0</v>
      </c>
      <c r="P5" s="91">
        <f>+IF(AND(P3&gt;=Housing!$D$15,P3&lt;Housing!$D$17),Assumptions!$H$38/ROUNDUP((Housing!$D$16/12),0),0)</f>
        <v>0</v>
      </c>
      <c r="Q5" s="91">
        <f>+IF(AND(Q3&gt;=Housing!$D$15,Q3&lt;Housing!$D$17),Assumptions!$H$38/ROUNDUP((Housing!$D$16/12),0),0)</f>
        <v>0</v>
      </c>
      <c r="R5" s="91">
        <f>+IF(AND(R3&gt;=Housing!$D$15,R3&lt;Housing!$D$17),Assumptions!$H$38/ROUNDUP((Housing!$D$16/12),0),0)</f>
        <v>0</v>
      </c>
    </row>
    <row r="6" spans="1:18">
      <c r="B6" s="123" t="s">
        <v>409</v>
      </c>
      <c r="C6" s="123"/>
      <c r="D6" s="91">
        <v>0</v>
      </c>
      <c r="E6" s="91">
        <f>D6+E5</f>
        <v>0</v>
      </c>
      <c r="F6" s="91">
        <f t="shared" ref="F6:M6" si="9">E6+F5</f>
        <v>0</v>
      </c>
      <c r="G6" s="91">
        <f t="shared" si="9"/>
        <v>0</v>
      </c>
      <c r="H6" s="91">
        <f t="shared" si="9"/>
        <v>130815</v>
      </c>
      <c r="I6" s="91">
        <f t="shared" si="9"/>
        <v>130815</v>
      </c>
      <c r="J6" s="91">
        <f t="shared" si="9"/>
        <v>130815</v>
      </c>
      <c r="K6" s="91">
        <f t="shared" si="9"/>
        <v>130815</v>
      </c>
      <c r="L6" s="91">
        <f t="shared" si="9"/>
        <v>130815</v>
      </c>
      <c r="M6" s="91">
        <f t="shared" si="9"/>
        <v>130815</v>
      </c>
      <c r="N6" s="91">
        <f>M6+N5</f>
        <v>130815</v>
      </c>
      <c r="O6" s="91">
        <f t="shared" ref="O6:R6" si="10">N6+O5</f>
        <v>130815</v>
      </c>
      <c r="P6" s="91">
        <f t="shared" si="10"/>
        <v>130815</v>
      </c>
      <c r="Q6" s="91">
        <f t="shared" si="10"/>
        <v>130815</v>
      </c>
      <c r="R6" s="91">
        <f t="shared" si="10"/>
        <v>130815</v>
      </c>
    </row>
    <row r="7" spans="1:18">
      <c r="B7" s="123" t="s">
        <v>410</v>
      </c>
      <c r="C7" s="123"/>
      <c r="D7" s="91">
        <f>+IF(AND(D3&gt;=Housing!$D$15,D3&lt;Housing!$D$17),Assumptions!$H$39/ROUNDUP((Housing!$D$16/12),0),0)</f>
        <v>0</v>
      </c>
      <c r="E7" s="91">
        <f>+IF(AND(E3&gt;=Housing!$D$15,E3&lt;Housing!$D$17),Assumptions!$H$39/ROUNDUP((Housing!$D$16/12),0),0)</f>
        <v>0</v>
      </c>
      <c r="F7" s="91">
        <f>+IF(AND(F3&gt;=Housing!$D$15,F3&lt;Housing!$D$17),Assumptions!$H$39/ROUNDUP((Housing!$D$16/12),0),0)</f>
        <v>0</v>
      </c>
      <c r="G7" s="91">
        <f>+IF(AND(G3&gt;=Housing!$D$15,G3&lt;Housing!$D$17),Assumptions!$H$39/ROUNDUP((Housing!$D$16/12),0),0)</f>
        <v>0</v>
      </c>
      <c r="H7" s="91">
        <f>+IF(AND(H3&gt;=Housing!$D$15,H3&lt;Housing!$D$17),Assumptions!$H$39/ROUNDUP((Housing!$D$16/12),0),0)</f>
        <v>171.00000000000003</v>
      </c>
      <c r="I7" s="91">
        <f>+IF(AND(I3&gt;=Housing!$D$15,I3&lt;Housing!$D$17),Assumptions!$H$39/ROUNDUP((Housing!$D$16/12),0),0)</f>
        <v>0</v>
      </c>
      <c r="J7" s="91">
        <f>+IF(AND(J3&gt;=Housing!$D$15,J3&lt;Housing!$D$17),Assumptions!$H$39/ROUNDUP((Housing!$D$16/12),0),0)</f>
        <v>0</v>
      </c>
      <c r="K7" s="91">
        <f>+IF(AND(K3&gt;=Housing!$D$15,K3&lt;Housing!$D$17),Assumptions!$H$39/ROUNDUP((Housing!$D$16/12),0),0)</f>
        <v>0</v>
      </c>
      <c r="L7" s="91">
        <f>+IF(AND(L3&gt;=Housing!$D$15,L3&lt;Housing!$D$17),Assumptions!$H$39/ROUNDUP((Housing!$D$16/12),0),0)</f>
        <v>0</v>
      </c>
      <c r="M7" s="91">
        <f>+IF(AND(M3&gt;=Housing!$D$15,M3&lt;Housing!$D$17),Assumptions!$H$39/ROUNDUP((Housing!$D$16/12),0),0)</f>
        <v>0</v>
      </c>
      <c r="N7" s="91">
        <f>+IF(AND(N3&gt;=Housing!$D$15,N3&lt;Housing!$D$17),Assumptions!$H$39/ROUNDUP((Housing!$D$16/12),0),0)</f>
        <v>0</v>
      </c>
      <c r="O7" s="91">
        <f>+IF(AND(O3&gt;=Housing!$D$15,O3&lt;Housing!$D$17),Assumptions!$H$39/ROUNDUP((Housing!$D$16/12),0),0)</f>
        <v>0</v>
      </c>
      <c r="P7" s="91">
        <f>+IF(AND(P3&gt;=Housing!$D$15,P3&lt;Housing!$D$17),Assumptions!$H$39/ROUNDUP((Housing!$D$16/12),0),0)</f>
        <v>0</v>
      </c>
      <c r="Q7" s="91">
        <f>+IF(AND(Q3&gt;=Housing!$D$15,Q3&lt;Housing!$D$17),Assumptions!$H$39/ROUNDUP((Housing!$D$16/12),0),0)</f>
        <v>0</v>
      </c>
      <c r="R7" s="91">
        <f>+IF(AND(R3&gt;=Housing!$D$15,R3&lt;Housing!$D$17),Assumptions!$H$39/ROUNDUP((Housing!$D$16/12),0),0)</f>
        <v>0</v>
      </c>
    </row>
    <row r="8" spans="1:18">
      <c r="B8" s="123" t="s">
        <v>411</v>
      </c>
      <c r="C8" s="123"/>
      <c r="D8" s="23">
        <v>0</v>
      </c>
      <c r="E8" s="91">
        <f>E7+D8</f>
        <v>0</v>
      </c>
      <c r="F8" s="91">
        <f t="shared" ref="F8:N8" si="11">F7+E8</f>
        <v>0</v>
      </c>
      <c r="G8" s="91">
        <f t="shared" si="11"/>
        <v>0</v>
      </c>
      <c r="H8" s="91">
        <f t="shared" si="11"/>
        <v>171.00000000000003</v>
      </c>
      <c r="I8" s="91">
        <f t="shared" si="11"/>
        <v>171.00000000000003</v>
      </c>
      <c r="J8" s="91">
        <f t="shared" si="11"/>
        <v>171.00000000000003</v>
      </c>
      <c r="K8" s="91">
        <f t="shared" si="11"/>
        <v>171.00000000000003</v>
      </c>
      <c r="L8" s="91">
        <f t="shared" si="11"/>
        <v>171.00000000000003</v>
      </c>
      <c r="M8" s="91">
        <f t="shared" si="11"/>
        <v>171.00000000000003</v>
      </c>
      <c r="N8" s="91">
        <f t="shared" si="11"/>
        <v>171.00000000000003</v>
      </c>
      <c r="O8" s="91">
        <f t="shared" ref="O8" si="12">O7+N8</f>
        <v>171.00000000000003</v>
      </c>
      <c r="P8" s="91">
        <f t="shared" ref="P8" si="13">P7+O8</f>
        <v>171.00000000000003</v>
      </c>
      <c r="Q8" s="91">
        <f t="shared" ref="Q8" si="14">Q7+P8</f>
        <v>171.00000000000003</v>
      </c>
      <c r="R8" s="91">
        <f t="shared" ref="R8" si="15">R7+Q8</f>
        <v>171.00000000000003</v>
      </c>
    </row>
    <row r="9" spans="1:18">
      <c r="B9" s="123" t="s">
        <v>412</v>
      </c>
      <c r="C9" s="123"/>
      <c r="D9" s="85">
        <f>D8/SUM($D$7:$N$7)</f>
        <v>0</v>
      </c>
      <c r="E9" s="85">
        <f t="shared" ref="E9:N9" si="16">E8/SUM($D$7:$N$7)</f>
        <v>0</v>
      </c>
      <c r="F9" s="85">
        <f t="shared" si="16"/>
        <v>0</v>
      </c>
      <c r="G9" s="85">
        <f t="shared" si="16"/>
        <v>0</v>
      </c>
      <c r="H9" s="85">
        <f t="shared" si="16"/>
        <v>1</v>
      </c>
      <c r="I9" s="85">
        <f t="shared" si="16"/>
        <v>1</v>
      </c>
      <c r="J9" s="85">
        <f t="shared" si="16"/>
        <v>1</v>
      </c>
      <c r="K9" s="85">
        <f t="shared" si="16"/>
        <v>1</v>
      </c>
      <c r="L9" s="85">
        <f t="shared" si="16"/>
        <v>1</v>
      </c>
      <c r="M9" s="85">
        <f t="shared" si="16"/>
        <v>1</v>
      </c>
      <c r="N9" s="85">
        <f t="shared" si="16"/>
        <v>1</v>
      </c>
      <c r="O9" s="85">
        <f t="shared" ref="O9" si="17">O8/SUM($D$7:$N$7)</f>
        <v>1</v>
      </c>
      <c r="P9" s="85">
        <f t="shared" ref="P9" si="18">P8/SUM($D$7:$N$7)</f>
        <v>1</v>
      </c>
      <c r="Q9" s="85">
        <f t="shared" ref="Q9" si="19">Q8/SUM($D$7:$N$7)</f>
        <v>1</v>
      </c>
      <c r="R9" s="85">
        <f t="shared" ref="R9" si="20">R8/SUM($D$7:$N$7)</f>
        <v>1</v>
      </c>
    </row>
    <row r="10" spans="1:18">
      <c r="B10" s="123"/>
      <c r="C10" s="1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</row>
    <row r="11" spans="1:18">
      <c r="B11" s="123" t="s">
        <v>413</v>
      </c>
      <c r="C11" s="123"/>
      <c r="D11" s="51">
        <v>1</v>
      </c>
      <c r="E11" s="209">
        <f>D11*(1+Assumptions!$V$58)</f>
        <v>1.0149999999999999</v>
      </c>
      <c r="F11" s="209">
        <f>E11*(1+Assumptions!$V$58)</f>
        <v>1.0302249999999997</v>
      </c>
      <c r="G11" s="209">
        <f>F11*(1+Assumptions!$V$58)</f>
        <v>1.0456783749999996</v>
      </c>
      <c r="H11" s="209">
        <f>G11*(1+Assumptions!$V$58)</f>
        <v>1.0613635506249994</v>
      </c>
      <c r="I11" s="209">
        <f>H11*(1+Assumptions!$V$58)</f>
        <v>1.0772840038843743</v>
      </c>
      <c r="J11" s="209">
        <f>I11*(1+Assumptions!$V$58)</f>
        <v>1.0934432639426397</v>
      </c>
      <c r="K11" s="209">
        <f>J11*(1+Assumptions!$V$58)</f>
        <v>1.1098449129017791</v>
      </c>
      <c r="L11" s="209">
        <f>K11*(1+Assumptions!$V$58)</f>
        <v>1.1264925865953057</v>
      </c>
      <c r="M11" s="209">
        <f>L11*(1+Assumptions!$V$58)</f>
        <v>1.1433899753942351</v>
      </c>
      <c r="N11" s="209">
        <f>M11*(1+Assumptions!$V$58)</f>
        <v>1.1605408250251485</v>
      </c>
      <c r="O11" s="209">
        <f>N11*(1+Assumptions!$V$58)</f>
        <v>1.1779489374005256</v>
      </c>
      <c r="P11" s="209">
        <f>O11*(1+Assumptions!$V$58)</f>
        <v>1.1956181714615335</v>
      </c>
      <c r="Q11" s="209">
        <f>P11*(1+Assumptions!$V$58)</f>
        <v>1.2135524440334564</v>
      </c>
      <c r="R11" s="209">
        <f>Q11*(1+Assumptions!$V$58)</f>
        <v>1.2317557306939582</v>
      </c>
    </row>
    <row r="12" spans="1:18">
      <c r="B12" s="123" t="s">
        <v>414</v>
      </c>
      <c r="C12" s="123"/>
      <c r="D12" s="51">
        <v>1</v>
      </c>
      <c r="E12" s="209">
        <f>D12*(1+Assumptions!$V$68)</f>
        <v>1.03</v>
      </c>
      <c r="F12" s="209">
        <f>E12*(1+Assumptions!$V$68)</f>
        <v>1.0609</v>
      </c>
      <c r="G12" s="209">
        <f>F12*(1+Assumptions!$V$68)</f>
        <v>1.092727</v>
      </c>
      <c r="H12" s="209">
        <f>G12*(1+Assumptions!$V$68)</f>
        <v>1.1255088100000001</v>
      </c>
      <c r="I12" s="209">
        <f>H12*(1+Assumptions!$V$68)</f>
        <v>1.1592740743000001</v>
      </c>
      <c r="J12" s="209">
        <f>I12*(1+Assumptions!$V$68)</f>
        <v>1.1940522965290001</v>
      </c>
      <c r="K12" s="209">
        <f>J12*(1+Assumptions!$V$68)</f>
        <v>1.2298738654248702</v>
      </c>
      <c r="L12" s="209">
        <f>K12*(1+Assumptions!$V$68)</f>
        <v>1.2667700813876164</v>
      </c>
      <c r="M12" s="209">
        <f>L12*(1+Assumptions!$V$68)</f>
        <v>1.3047731838292449</v>
      </c>
      <c r="N12" s="209">
        <f>M12*(1+Assumptions!$V$68)</f>
        <v>1.3439163793441222</v>
      </c>
      <c r="O12" s="209">
        <f>N12*(1+Assumptions!$V$68)</f>
        <v>1.3842338707244459</v>
      </c>
      <c r="P12" s="209">
        <f>O12*(1+Assumptions!$V$68)</f>
        <v>1.4257608868461793</v>
      </c>
      <c r="Q12" s="209">
        <f>P12*(1+Assumptions!$V$68)</f>
        <v>1.4685337134515648</v>
      </c>
      <c r="R12" s="209">
        <f>Q12*(1+Assumptions!$V$68)</f>
        <v>1.5125897248551119</v>
      </c>
    </row>
    <row r="13" spans="1:18">
      <c r="B13" s="123"/>
      <c r="C13" s="1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</row>
    <row r="14" spans="1:18">
      <c r="B14" s="123" t="s">
        <v>415</v>
      </c>
      <c r="C14" s="123"/>
      <c r="D14" s="210">
        <f ca="1">D11*D9*Assumptions!$H$37</f>
        <v>0</v>
      </c>
      <c r="E14" s="210">
        <f ca="1">E11*E9*Assumptions!$H$37</f>
        <v>0</v>
      </c>
      <c r="F14" s="210">
        <f ca="1">F11*F9*Assumptions!$H$37</f>
        <v>0</v>
      </c>
      <c r="G14" s="210">
        <f ca="1">G11*G9*Assumptions!$H$37</f>
        <v>0</v>
      </c>
      <c r="H14" s="210">
        <f ca="1">H11*H9*Assumptions!$H$37</f>
        <v>5218347.6804764196</v>
      </c>
      <c r="I14" s="210">
        <f ca="1">I11*I9*Assumptions!$H$37</f>
        <v>5296622.8956835652</v>
      </c>
      <c r="J14" s="210">
        <f ca="1">J11*J9*Assumptions!$H$37</f>
        <v>5376072.2391188173</v>
      </c>
      <c r="K14" s="210">
        <f ca="1">K11*K9*Assumptions!$H$37</f>
        <v>5456713.3227055985</v>
      </c>
      <c r="L14" s="210">
        <f ca="1">L11*L9*Assumptions!$H$37</f>
        <v>5538564.0225461824</v>
      </c>
      <c r="M14" s="210">
        <f ca="1">M11*M9*Assumptions!$H$37</f>
        <v>5621642.4828843744</v>
      </c>
      <c r="N14" s="210">
        <f ca="1">N11*N9*Assumptions!$H$37</f>
        <v>5705967.1201276397</v>
      </c>
      <c r="O14" s="210">
        <f ca="1">O11*O9*Assumptions!$H$37</f>
        <v>5791556.6269295532</v>
      </c>
      <c r="P14" s="210">
        <f ca="1">P11*P9*Assumptions!$H$37</f>
        <v>5878429.9763334962</v>
      </c>
      <c r="Q14" s="210">
        <f ca="1">Q11*Q9*Assumptions!$H$37</f>
        <v>5966606.4259784985</v>
      </c>
      <c r="R14" s="210">
        <f ca="1">R11*R9*Assumptions!$H$37</f>
        <v>6056105.5223681759</v>
      </c>
    </row>
    <row r="15" spans="1:18">
      <c r="B15" s="123" t="s">
        <v>416</v>
      </c>
      <c r="C15" s="123"/>
      <c r="D15" s="210">
        <f ca="1">-D14*Assumptions!$W$50</f>
        <v>0</v>
      </c>
      <c r="E15" s="210">
        <f ca="1">-E14*Assumptions!$W$50</f>
        <v>0</v>
      </c>
      <c r="F15" s="210">
        <f ca="1">-F14*Assumptions!$W$50</f>
        <v>0</v>
      </c>
      <c r="G15" s="210">
        <f ca="1">-G14*Assumptions!$W$50</f>
        <v>0</v>
      </c>
      <c r="H15" s="210">
        <f ca="1">-H14*Assumptions!$W$50</f>
        <v>-156550.43041429258</v>
      </c>
      <c r="I15" s="210">
        <f ca="1">-I14*Assumptions!$W$50</f>
        <v>-158898.68687050694</v>
      </c>
      <c r="J15" s="210">
        <f ca="1">-J14*Assumptions!$W$50</f>
        <v>-161282.16717356452</v>
      </c>
      <c r="K15" s="210">
        <f ca="1">-K14*Assumptions!$W$50</f>
        <v>-163701.39968116794</v>
      </c>
      <c r="L15" s="210">
        <f ca="1">-L14*Assumptions!$W$50</f>
        <v>-166156.92067638546</v>
      </c>
      <c r="M15" s="210">
        <f ca="1">-M14*Assumptions!$W$50</f>
        <v>-168649.27448653124</v>
      </c>
      <c r="N15" s="210">
        <f ca="1">-N14*Assumptions!$W$50</f>
        <v>-171179.0136038292</v>
      </c>
      <c r="O15" s="210">
        <f ca="1">-O14*Assumptions!$W$50</f>
        <v>-173746.6988078866</v>
      </c>
      <c r="P15" s="210">
        <f ca="1">-P14*Assumptions!$W$50</f>
        <v>-176352.89929000489</v>
      </c>
      <c r="Q15" s="210">
        <f ca="1">-Q14*Assumptions!$W$50</f>
        <v>-178998.19277935495</v>
      </c>
      <c r="R15" s="210">
        <f ca="1">-R14*Assumptions!$W$50</f>
        <v>-181683.16567104528</v>
      </c>
    </row>
    <row r="16" spans="1:18">
      <c r="B16" s="128" t="s">
        <v>417</v>
      </c>
      <c r="C16" s="128"/>
      <c r="D16" s="210">
        <f ca="1">D14+D15</f>
        <v>0</v>
      </c>
      <c r="E16" s="210">
        <f t="shared" ref="E16:N16" ca="1" si="21">E14+E15</f>
        <v>0</v>
      </c>
      <c r="F16" s="210">
        <f t="shared" ca="1" si="21"/>
        <v>0</v>
      </c>
      <c r="G16" s="210">
        <f t="shared" ca="1" si="21"/>
        <v>0</v>
      </c>
      <c r="H16" s="210">
        <f t="shared" ca="1" si="21"/>
        <v>5061797.2500621267</v>
      </c>
      <c r="I16" s="210">
        <f t="shared" ca="1" si="21"/>
        <v>5137724.2088130582</v>
      </c>
      <c r="J16" s="210">
        <f t="shared" ca="1" si="21"/>
        <v>5214790.0719452528</v>
      </c>
      <c r="K16" s="210">
        <f t="shared" ca="1" si="21"/>
        <v>5293011.9230244309</v>
      </c>
      <c r="L16" s="210">
        <f t="shared" ca="1" si="21"/>
        <v>5372407.1018697973</v>
      </c>
      <c r="M16" s="210">
        <f t="shared" ca="1" si="21"/>
        <v>5452993.2083978429</v>
      </c>
      <c r="N16" s="210">
        <f t="shared" ca="1" si="21"/>
        <v>5534788.1065238109</v>
      </c>
      <c r="O16" s="210">
        <f t="shared" ref="O16" ca="1" si="22">O14+O15</f>
        <v>5617809.9281216664</v>
      </c>
      <c r="P16" s="210">
        <f t="shared" ref="P16" ca="1" si="23">P14+P15</f>
        <v>5702077.0770434914</v>
      </c>
      <c r="Q16" s="210">
        <f t="shared" ref="Q16" ca="1" si="24">Q14+Q15</f>
        <v>5787608.2331991438</v>
      </c>
      <c r="R16" s="210">
        <f t="shared" ref="R16" ca="1" si="25">R14+R15</f>
        <v>5874422.3566971309</v>
      </c>
    </row>
    <row r="17" spans="2:18">
      <c r="B17" s="128"/>
      <c r="C17" s="128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</row>
    <row r="18" spans="2:18">
      <c r="B18" s="128" t="s">
        <v>418</v>
      </c>
      <c r="C18" s="128"/>
      <c r="D18" s="210">
        <f ca="1">D16*(1-D20)</f>
        <v>0</v>
      </c>
      <c r="E18" s="210">
        <f t="shared" ref="E18:N18" ca="1" si="26">E16*(1-E20)</f>
        <v>0</v>
      </c>
      <c r="F18" s="210">
        <f t="shared" ca="1" si="26"/>
        <v>0</v>
      </c>
      <c r="G18" s="210">
        <f t="shared" ca="1" si="26"/>
        <v>0</v>
      </c>
      <c r="H18" s="210">
        <f t="shared" ca="1" si="26"/>
        <v>1012359.4500124251</v>
      </c>
      <c r="I18" s="210">
        <f t="shared" ca="1" si="26"/>
        <v>1027544.8417626114</v>
      </c>
      <c r="J18" s="210">
        <f t="shared" ca="1" si="26"/>
        <v>1042958.0143890503</v>
      </c>
      <c r="K18" s="210">
        <f t="shared" ca="1" si="26"/>
        <v>1058602.3846048859</v>
      </c>
      <c r="L18" s="210">
        <f t="shared" ca="1" si="26"/>
        <v>1074481.4203739592</v>
      </c>
      <c r="M18" s="210">
        <f t="shared" ca="1" si="26"/>
        <v>1090598.6416795684</v>
      </c>
      <c r="N18" s="210">
        <f t="shared" ca="1" si="26"/>
        <v>1106957.6213047619</v>
      </c>
      <c r="O18" s="210">
        <f t="shared" ref="O18:R18" ca="1" si="27">O16*(1-O20)</f>
        <v>1123561.9856243331</v>
      </c>
      <c r="P18" s="210">
        <f t="shared" ca="1" si="27"/>
        <v>1140415.4154086981</v>
      </c>
      <c r="Q18" s="210">
        <f t="shared" ca="1" si="27"/>
        <v>1157521.6466398286</v>
      </c>
      <c r="R18" s="210">
        <f t="shared" ca="1" si="27"/>
        <v>1174884.471339426</v>
      </c>
    </row>
    <row r="19" spans="2:18"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</row>
    <row r="20" spans="2:18">
      <c r="B20" s="123" t="s">
        <v>419</v>
      </c>
      <c r="C20" s="123"/>
      <c r="D20" s="51">
        <f>Assumptions!$W$80</f>
        <v>0.8</v>
      </c>
      <c r="E20" s="51">
        <f>Assumptions!$W$80</f>
        <v>0.8</v>
      </c>
      <c r="F20" s="51">
        <f>Assumptions!$W$80</f>
        <v>0.8</v>
      </c>
      <c r="G20" s="51">
        <f>Assumptions!$W$80</f>
        <v>0.8</v>
      </c>
      <c r="H20" s="51">
        <f>Assumptions!$W$80</f>
        <v>0.8</v>
      </c>
      <c r="I20" s="51">
        <f>Assumptions!$W$80</f>
        <v>0.8</v>
      </c>
      <c r="J20" s="51">
        <f>Assumptions!$W$80</f>
        <v>0.8</v>
      </c>
      <c r="K20" s="51">
        <f>Assumptions!$W$80</f>
        <v>0.8</v>
      </c>
      <c r="L20" s="51">
        <f>Assumptions!$W$80</f>
        <v>0.8</v>
      </c>
      <c r="M20" s="51">
        <f>Assumptions!$W$80</f>
        <v>0.8</v>
      </c>
      <c r="N20" s="51">
        <f>Assumptions!$W$80</f>
        <v>0.8</v>
      </c>
      <c r="O20" s="51">
        <f>Assumptions!$W$80</f>
        <v>0.8</v>
      </c>
      <c r="P20" s="51">
        <f>Assumptions!$W$80</f>
        <v>0.8</v>
      </c>
      <c r="Q20" s="51">
        <f>Assumptions!$W$80</f>
        <v>0.8</v>
      </c>
      <c r="R20" s="51">
        <f>Assumptions!$W$80</f>
        <v>0.8</v>
      </c>
    </row>
    <row r="21" spans="2:18" ht="17.100000000000001" thickBot="1">
      <c r="B21" s="123"/>
      <c r="C21" s="1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</row>
    <row r="22" spans="2:18" ht="17.100000000000001" thickBot="1">
      <c r="B22" s="315" t="s">
        <v>420</v>
      </c>
      <c r="C22" s="316"/>
      <c r="D22" s="317">
        <f ca="1">D20*D16</f>
        <v>0</v>
      </c>
      <c r="E22" s="317">
        <f t="shared" ref="E22:N22" ca="1" si="28">E20*E16</f>
        <v>0</v>
      </c>
      <c r="F22" s="317">
        <f t="shared" ca="1" si="28"/>
        <v>0</v>
      </c>
      <c r="G22" s="317">
        <f t="shared" ca="1" si="28"/>
        <v>0</v>
      </c>
      <c r="H22" s="317">
        <f t="shared" ca="1" si="28"/>
        <v>4049437.8000497017</v>
      </c>
      <c r="I22" s="317">
        <f t="shared" ca="1" si="28"/>
        <v>4110179.3670504466</v>
      </c>
      <c r="J22" s="317">
        <f t="shared" ca="1" si="28"/>
        <v>4171832.0575562026</v>
      </c>
      <c r="K22" s="317">
        <f t="shared" ca="1" si="28"/>
        <v>4234409.5384195447</v>
      </c>
      <c r="L22" s="317">
        <f t="shared" ca="1" si="28"/>
        <v>4297925.6814958379</v>
      </c>
      <c r="M22" s="317">
        <f t="shared" ca="1" si="28"/>
        <v>4362394.5667182747</v>
      </c>
      <c r="N22" s="317">
        <f t="shared" ca="1" si="28"/>
        <v>4427830.4852190493</v>
      </c>
      <c r="O22" s="317">
        <f t="shared" ref="O22:R22" ca="1" si="29">O20*O16</f>
        <v>4494247.9424973335</v>
      </c>
      <c r="P22" s="317">
        <f t="shared" ca="1" si="29"/>
        <v>4561661.6616347935</v>
      </c>
      <c r="Q22" s="317">
        <f t="shared" ca="1" si="29"/>
        <v>4630086.5865593152</v>
      </c>
      <c r="R22" s="318">
        <f t="shared" ca="1" si="29"/>
        <v>4699537.8853577049</v>
      </c>
    </row>
    <row r="23" spans="2:18">
      <c r="B23" s="127" t="s">
        <v>421</v>
      </c>
      <c r="C23" s="127"/>
      <c r="D23" s="210">
        <f ca="1">D22/Assumptions!$W$89</f>
        <v>0</v>
      </c>
      <c r="E23" s="210">
        <f ca="1">E22/Assumptions!$W$89</f>
        <v>0</v>
      </c>
      <c r="F23" s="210">
        <f ca="1">F22/Assumptions!$W$89</f>
        <v>0</v>
      </c>
      <c r="G23" s="210">
        <f ca="1">G22/Assumptions!$W$89</f>
        <v>0</v>
      </c>
      <c r="H23" s="210">
        <f ca="1">H22/Assumptions!$W$89</f>
        <v>67490630.00082837</v>
      </c>
      <c r="I23" s="210">
        <f ca="1">I22/Assumptions!$W$89</f>
        <v>68502989.450840786</v>
      </c>
      <c r="J23" s="210">
        <f ca="1">J22/Assumptions!$W$89</f>
        <v>69530534.292603374</v>
      </c>
      <c r="K23" s="210">
        <f ca="1">K22/Assumptions!$W$89</f>
        <v>70573492.306992412</v>
      </c>
      <c r="L23" s="210">
        <f ca="1">L22/Assumptions!$W$89</f>
        <v>71632094.691597298</v>
      </c>
      <c r="M23" s="210">
        <f ca="1">M22/Assumptions!$W$89</f>
        <v>72706576.111971244</v>
      </c>
      <c r="N23" s="210">
        <f ca="1">N22/Assumptions!$W$89</f>
        <v>73797174.753650829</v>
      </c>
      <c r="O23" s="210">
        <f ca="1">O22/Assumptions!$W$89</f>
        <v>74904132.374955565</v>
      </c>
      <c r="P23" s="210">
        <f ca="1">P22/Assumptions!$W$89</f>
        <v>76027694.360579893</v>
      </c>
      <c r="Q23" s="210">
        <f ca="1">Q22/Assumptions!$W$89</f>
        <v>77168109.775988594</v>
      </c>
      <c r="R23" s="210">
        <f ca="1">R22/Assumptions!$W$89</f>
        <v>78325631.422628418</v>
      </c>
    </row>
    <row r="24" spans="2:18">
      <c r="B24" s="127"/>
      <c r="C24" s="127"/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</row>
    <row r="25" spans="2:18">
      <c r="B25" s="279"/>
      <c r="C25" s="279"/>
      <c r="D25" s="279">
        <f>D2</f>
        <v>2024</v>
      </c>
      <c r="E25" s="279">
        <f>E2</f>
        <v>2025</v>
      </c>
      <c r="F25" s="279">
        <f>F2</f>
        <v>2026</v>
      </c>
      <c r="G25" s="279">
        <f>G2</f>
        <v>2027</v>
      </c>
      <c r="H25" s="279">
        <f>H2</f>
        <v>2028</v>
      </c>
      <c r="I25" s="279">
        <f>I2</f>
        <v>2029</v>
      </c>
      <c r="J25" s="279">
        <f>J2</f>
        <v>2030</v>
      </c>
      <c r="K25" s="279">
        <f>K2</f>
        <v>2031</v>
      </c>
      <c r="L25" s="279">
        <f>L2</f>
        <v>2032</v>
      </c>
      <c r="M25" s="279">
        <f>M2</f>
        <v>2033</v>
      </c>
      <c r="N25" s="279">
        <f>N2</f>
        <v>2034</v>
      </c>
      <c r="O25" s="279">
        <f t="shared" ref="O25:R25" si="30">O2</f>
        <v>2035</v>
      </c>
      <c r="P25" s="279">
        <f t="shared" si="30"/>
        <v>2036</v>
      </c>
      <c r="Q25" s="279">
        <f t="shared" si="30"/>
        <v>2037</v>
      </c>
      <c r="R25" s="279">
        <f t="shared" si="30"/>
        <v>2038</v>
      </c>
    </row>
    <row r="26" spans="2:18" ht="18">
      <c r="B26" s="303" t="s">
        <v>95</v>
      </c>
      <c r="C26" s="281"/>
      <c r="D26" s="281">
        <f>D3</f>
        <v>45657</v>
      </c>
      <c r="E26" s="281">
        <f>E3</f>
        <v>46022</v>
      </c>
      <c r="F26" s="281">
        <f>F3</f>
        <v>46387</v>
      </c>
      <c r="G26" s="281">
        <f>G3</f>
        <v>46752</v>
      </c>
      <c r="H26" s="281">
        <f>H3</f>
        <v>47118</v>
      </c>
      <c r="I26" s="281">
        <f>I3</f>
        <v>47483</v>
      </c>
      <c r="J26" s="281">
        <f>J3</f>
        <v>47848</v>
      </c>
      <c r="K26" s="281">
        <f>K3</f>
        <v>48213</v>
      </c>
      <c r="L26" s="281">
        <f>L3</f>
        <v>48579</v>
      </c>
      <c r="M26" s="281">
        <f>M3</f>
        <v>48944</v>
      </c>
      <c r="N26" s="281">
        <f>N3</f>
        <v>49309</v>
      </c>
      <c r="O26" s="281">
        <f t="shared" ref="O26:R26" si="31">O3</f>
        <v>49674</v>
      </c>
      <c r="P26" s="281">
        <f t="shared" si="31"/>
        <v>50040</v>
      </c>
      <c r="Q26" s="281">
        <f t="shared" si="31"/>
        <v>50405</v>
      </c>
      <c r="R26" s="281">
        <f t="shared" si="31"/>
        <v>50770</v>
      </c>
    </row>
    <row r="27" spans="2:18">
      <c r="B27" s="134"/>
      <c r="C27" s="134"/>
    </row>
    <row r="28" spans="2:18">
      <c r="B28" s="123" t="s">
        <v>408</v>
      </c>
      <c r="C28" s="123"/>
      <c r="D28" s="91">
        <f>+IF(AND(D3&gt;=Housing!$D$8,D3&lt;Housing!$D$10),Assumptions!$H$65/ROUNDUP((Housing!$D$9/12),0),0)</f>
        <v>0</v>
      </c>
      <c r="E28" s="91">
        <f>+IF(AND(E3&gt;=Housing!$D$8,E3&lt;Housing!$D$10),Assumptions!$H$65/ROUNDUP((Housing!$D$9/12),0),0)</f>
        <v>0</v>
      </c>
      <c r="F28" s="91">
        <f>+IF(AND(F3&gt;=Housing!$D$8,F3&lt;Housing!$D$10),Assumptions!$H$65/ROUNDUP((Housing!$D$9/12),0),0)</f>
        <v>0</v>
      </c>
      <c r="G28" s="91">
        <f>+IF(AND(G3&gt;=Housing!$D$8,G3&lt;Housing!$D$10),Assumptions!$H$65/ROUNDUP((Housing!$D$9/12),0),0)</f>
        <v>0</v>
      </c>
      <c r="H28" s="91">
        <f>+IF(AND(H3&gt;=Housing!$D$8,H3&lt;Housing!$D$10),Assumptions!$H$65/ROUNDUP((Housing!$D$9/12),0),0)</f>
        <v>150000</v>
      </c>
      <c r="I28" s="91">
        <f>+IF(AND(I3&gt;=Housing!$D$8,I3&lt;Housing!$D$10),Assumptions!$H$65/ROUNDUP((Housing!$D$9/12),0),0)</f>
        <v>150000</v>
      </c>
      <c r="J28" s="91">
        <f>+IF(AND(J3&gt;=Housing!$D$8,J3&lt;Housing!$D$10),Assumptions!$H$65/ROUNDUP((Housing!$D$9/12),0),0)</f>
        <v>0</v>
      </c>
      <c r="K28" s="91">
        <f>+IF(AND(K3&gt;=Housing!$D$8,K3&lt;Housing!$D$10),Assumptions!$H$65/ROUNDUP((Housing!$D$9/12),0),0)</f>
        <v>0</v>
      </c>
      <c r="L28" s="91">
        <f>+IF(AND(L3&gt;=Housing!$D$8,L3&lt;Housing!$D$10),Assumptions!$H$65/ROUNDUP((Housing!$D$9/12),0),0)</f>
        <v>0</v>
      </c>
      <c r="M28" s="91">
        <f>+IF(AND(M3&gt;=Housing!$D$8,M3&lt;Housing!$D$10),Assumptions!$H$65/ROUNDUP((Housing!$D$9/12),0),0)</f>
        <v>0</v>
      </c>
      <c r="N28" s="91">
        <f>+IF(AND(N3&gt;=Housing!$D$8,N3&lt;Housing!$D$10),Assumptions!$H$65/ROUNDUP((Housing!$D$9/12),0),0)</f>
        <v>0</v>
      </c>
      <c r="O28" s="91">
        <f>+IF(AND(O3&gt;=Housing!$D$8,O3&lt;Housing!$D$10),Assumptions!$H$65/ROUNDUP((Housing!$D$9/12),0),0)</f>
        <v>0</v>
      </c>
      <c r="P28" s="91">
        <f>+IF(AND(P3&gt;=Housing!$D$8,P3&lt;Housing!$D$10),Assumptions!$H$65/ROUNDUP((Housing!$D$9/12),0),0)</f>
        <v>0</v>
      </c>
      <c r="Q28" s="91">
        <f>+IF(AND(Q3&gt;=Housing!$D$8,Q3&lt;Housing!$D$10),Assumptions!$H$65/ROUNDUP((Housing!$D$9/12),0),0)</f>
        <v>0</v>
      </c>
      <c r="R28" s="91">
        <f>+IF(AND(R3&gt;=Housing!$D$8,R3&lt;Housing!$D$10),Assumptions!$H$65/ROUNDUP((Housing!$D$9/12),0),0)</f>
        <v>0</v>
      </c>
    </row>
    <row r="29" spans="2:18">
      <c r="B29" s="123" t="s">
        <v>409</v>
      </c>
      <c r="C29" s="123"/>
      <c r="D29" s="91">
        <v>0</v>
      </c>
      <c r="E29" s="91">
        <f>D29+E28</f>
        <v>0</v>
      </c>
      <c r="F29" s="91">
        <f t="shared" ref="F29:N29" si="32">E29+F28</f>
        <v>0</v>
      </c>
      <c r="G29" s="91">
        <f t="shared" si="32"/>
        <v>0</v>
      </c>
      <c r="H29" s="91">
        <f t="shared" si="32"/>
        <v>150000</v>
      </c>
      <c r="I29" s="91">
        <f t="shared" si="32"/>
        <v>300000</v>
      </c>
      <c r="J29" s="91">
        <f t="shared" si="32"/>
        <v>300000</v>
      </c>
      <c r="K29" s="91">
        <f t="shared" si="32"/>
        <v>300000</v>
      </c>
      <c r="L29" s="91">
        <f t="shared" si="32"/>
        <v>300000</v>
      </c>
      <c r="M29" s="91">
        <f t="shared" si="32"/>
        <v>300000</v>
      </c>
      <c r="N29" s="91">
        <f t="shared" si="32"/>
        <v>300000</v>
      </c>
      <c r="O29" s="91">
        <f t="shared" ref="O29" si="33">N29+O28</f>
        <v>300000</v>
      </c>
      <c r="P29" s="91">
        <f t="shared" ref="P29" si="34">O29+P28</f>
        <v>300000</v>
      </c>
      <c r="Q29" s="91">
        <f t="shared" ref="Q29" si="35">P29+Q28</f>
        <v>300000</v>
      </c>
      <c r="R29" s="91">
        <f t="shared" ref="R29" si="36">Q29+R28</f>
        <v>300000</v>
      </c>
    </row>
    <row r="30" spans="2:18">
      <c r="B30" s="123" t="s">
        <v>410</v>
      </c>
      <c r="C30" s="123"/>
      <c r="D30" s="91">
        <f>+IF(AND(D3&gt;=Housing!$D$8,D3&lt;Housing!$D$10),Assumptions!$H$66/ROUNDUP((Housing!$D$9/12),0),0)</f>
        <v>0</v>
      </c>
      <c r="E30" s="91">
        <f>+IF(AND(E3&gt;=Housing!$D$8,E3&lt;Housing!$D$10),Assumptions!$H$66/ROUNDUP((Housing!$D$9/12),0),0)</f>
        <v>0</v>
      </c>
      <c r="F30" s="91">
        <f>+IF(AND(F3&gt;=Housing!$D$8,F3&lt;Housing!$D$10),Assumptions!$H$66/ROUNDUP((Housing!$D$9/12),0),0)</f>
        <v>0</v>
      </c>
      <c r="G30" s="91">
        <f>+IF(AND(G3&gt;=Housing!$D$8,G3&lt;Housing!$D$10),Assumptions!$H$66/ROUNDUP((Housing!$D$9/12),0),0)</f>
        <v>0</v>
      </c>
      <c r="H30" s="91">
        <f>+IF(AND(H3&gt;=Housing!$D$8,H3&lt;Housing!$D$10),Assumptions!$H$66/ROUNDUP((Housing!$D$9/12),0),0)</f>
        <v>200</v>
      </c>
      <c r="I30" s="91">
        <f>+IF(AND(I3&gt;=Housing!$D$8,I3&lt;Housing!$D$10),Assumptions!$H$66/ROUNDUP((Housing!$D$9/12),0),0)</f>
        <v>200</v>
      </c>
      <c r="J30" s="91">
        <f>+IF(AND(J3&gt;=Housing!$D$8,J3&lt;Housing!$D$10),Assumptions!$H$66/ROUNDUP((Housing!$D$9/12),0),0)</f>
        <v>0</v>
      </c>
      <c r="K30" s="91">
        <f>+IF(AND(K3&gt;=Housing!$D$8,K3&lt;Housing!$D$10),Assumptions!$H$66/ROUNDUP((Housing!$D$9/12),0),0)</f>
        <v>0</v>
      </c>
      <c r="L30" s="91">
        <f>+IF(AND(L3&gt;=Housing!$D$8,L3&lt;Housing!$D$10),Assumptions!$H$66/ROUNDUP((Housing!$D$9/12),0),0)</f>
        <v>0</v>
      </c>
      <c r="M30" s="91">
        <f>+IF(AND(M3&gt;=Housing!$D$8,M3&lt;Housing!$D$10),Assumptions!$H$66/ROUNDUP((Housing!$D$9/12),0),0)</f>
        <v>0</v>
      </c>
      <c r="N30" s="91">
        <f>+IF(AND(N3&gt;=Housing!$D$8,N3&lt;Housing!$D$10),Assumptions!$H$66/ROUNDUP((Housing!$D$9/12),0),0)</f>
        <v>0</v>
      </c>
      <c r="O30" s="91">
        <f>+IF(AND(O3&gt;=Housing!$D$8,O3&lt;Housing!$D$10),Assumptions!$H$66/ROUNDUP((Housing!$D$9/12),0),0)</f>
        <v>0</v>
      </c>
      <c r="P30" s="91">
        <f>+IF(AND(P3&gt;=Housing!$D$8,P3&lt;Housing!$D$10),Assumptions!$H$66/ROUNDUP((Housing!$D$9/12),0),0)</f>
        <v>0</v>
      </c>
      <c r="Q30" s="91">
        <f>+IF(AND(Q3&gt;=Housing!$D$8,Q3&lt;Housing!$D$10),Assumptions!$H$66/ROUNDUP((Housing!$D$9/12),0),0)</f>
        <v>0</v>
      </c>
      <c r="R30" s="91">
        <f>+IF(AND(R3&gt;=Housing!$D$8,R3&lt;Housing!$D$10),Assumptions!$H$66/ROUNDUP((Housing!$D$9/12),0),0)</f>
        <v>0</v>
      </c>
    </row>
    <row r="31" spans="2:18">
      <c r="B31" s="123" t="s">
        <v>411</v>
      </c>
      <c r="C31" s="123"/>
      <c r="D31" s="91">
        <v>0</v>
      </c>
      <c r="E31" s="91">
        <f>E30+D31</f>
        <v>0</v>
      </c>
      <c r="F31" s="91">
        <f t="shared" ref="F31:N31" si="37">F30+E31</f>
        <v>0</v>
      </c>
      <c r="G31" s="91">
        <f t="shared" si="37"/>
        <v>0</v>
      </c>
      <c r="H31" s="91">
        <f t="shared" si="37"/>
        <v>200</v>
      </c>
      <c r="I31" s="91">
        <f t="shared" si="37"/>
        <v>400</v>
      </c>
      <c r="J31" s="91">
        <f t="shared" si="37"/>
        <v>400</v>
      </c>
      <c r="K31" s="91">
        <f t="shared" si="37"/>
        <v>400</v>
      </c>
      <c r="L31" s="91">
        <f t="shared" si="37"/>
        <v>400</v>
      </c>
      <c r="M31" s="91">
        <f t="shared" si="37"/>
        <v>400</v>
      </c>
      <c r="N31" s="91">
        <f t="shared" si="37"/>
        <v>400</v>
      </c>
      <c r="O31" s="91">
        <f t="shared" ref="O31" si="38">O30+N31</f>
        <v>400</v>
      </c>
      <c r="P31" s="91">
        <f t="shared" ref="P31" si="39">P30+O31</f>
        <v>400</v>
      </c>
      <c r="Q31" s="91">
        <f t="shared" ref="Q31" si="40">Q30+P31</f>
        <v>400</v>
      </c>
      <c r="R31" s="91">
        <f t="shared" ref="R31" si="41">R30+Q31</f>
        <v>400</v>
      </c>
    </row>
    <row r="32" spans="2:18">
      <c r="B32" s="123" t="s">
        <v>412</v>
      </c>
      <c r="C32" s="123"/>
      <c r="D32" s="85">
        <f>D31/SUM($D$30:$N$30)</f>
        <v>0</v>
      </c>
      <c r="E32" s="85">
        <f t="shared" ref="E32:N32" si="42">E31/SUM($D$30:$N$30)</f>
        <v>0</v>
      </c>
      <c r="F32" s="85">
        <f t="shared" si="42"/>
        <v>0</v>
      </c>
      <c r="G32" s="85">
        <f t="shared" si="42"/>
        <v>0</v>
      </c>
      <c r="H32" s="85">
        <f t="shared" si="42"/>
        <v>0.5</v>
      </c>
      <c r="I32" s="85">
        <f t="shared" si="42"/>
        <v>1</v>
      </c>
      <c r="J32" s="85">
        <f t="shared" si="42"/>
        <v>1</v>
      </c>
      <c r="K32" s="85">
        <f t="shared" si="42"/>
        <v>1</v>
      </c>
      <c r="L32" s="85">
        <f t="shared" si="42"/>
        <v>1</v>
      </c>
      <c r="M32" s="85">
        <f t="shared" si="42"/>
        <v>1</v>
      </c>
      <c r="N32" s="85">
        <f t="shared" si="42"/>
        <v>1</v>
      </c>
      <c r="O32" s="85">
        <f t="shared" ref="O32" si="43">O31/SUM($D$30:$N$30)</f>
        <v>1</v>
      </c>
      <c r="P32" s="85">
        <f t="shared" ref="P32" si="44">P31/SUM($D$30:$N$30)</f>
        <v>1</v>
      </c>
      <c r="Q32" s="85">
        <f t="shared" ref="Q32" si="45">Q31/SUM($D$30:$N$30)</f>
        <v>1</v>
      </c>
      <c r="R32" s="85">
        <f t="shared" ref="R32" si="46">R31/SUM($D$30:$N$30)</f>
        <v>1</v>
      </c>
    </row>
    <row r="33" spans="2:18">
      <c r="B33" s="123"/>
      <c r="C33" s="123"/>
    </row>
    <row r="34" spans="2:18">
      <c r="B34" s="123" t="s">
        <v>413</v>
      </c>
      <c r="C34" s="123"/>
      <c r="D34" s="51">
        <v>1</v>
      </c>
      <c r="E34" s="209">
        <f>D34*(1+Assumptions!$V$59)</f>
        <v>1.03</v>
      </c>
      <c r="F34" s="209">
        <f>E34*(1+Assumptions!$V$59)</f>
        <v>1.0609</v>
      </c>
      <c r="G34" s="209">
        <f>F34*(1+Assumptions!$V$59)</f>
        <v>1.092727</v>
      </c>
      <c r="H34" s="209">
        <f>G34*(1+Assumptions!$V$59)</f>
        <v>1.1255088100000001</v>
      </c>
      <c r="I34" s="209">
        <f>H34*(1+Assumptions!$V$59)</f>
        <v>1.1592740743000001</v>
      </c>
      <c r="J34" s="209">
        <f>I34*(1+Assumptions!$V$59)</f>
        <v>1.1940522965290001</v>
      </c>
      <c r="K34" s="209">
        <f>J34*(1+Assumptions!$V$59)</f>
        <v>1.2298738654248702</v>
      </c>
      <c r="L34" s="209">
        <f>K34*(1+Assumptions!$V$59)</f>
        <v>1.2667700813876164</v>
      </c>
      <c r="M34" s="209">
        <f>L34*(1+Assumptions!$V$59)</f>
        <v>1.3047731838292449</v>
      </c>
      <c r="N34" s="209">
        <f>M34*(1+Assumptions!$V$59)</f>
        <v>1.3439163793441222</v>
      </c>
      <c r="O34" s="209">
        <f>N34*(1+Assumptions!$V$59)</f>
        <v>1.3842338707244459</v>
      </c>
      <c r="P34" s="209">
        <f>O34*(1+Assumptions!$V$59)</f>
        <v>1.4257608868461793</v>
      </c>
      <c r="Q34" s="209">
        <f>P34*(1+Assumptions!$V$59)</f>
        <v>1.4685337134515648</v>
      </c>
      <c r="R34" s="209">
        <f>Q34*(1+Assumptions!$V$59)</f>
        <v>1.5125897248551119</v>
      </c>
    </row>
    <row r="35" spans="2:18">
      <c r="B35" s="123" t="s">
        <v>414</v>
      </c>
      <c r="C35" s="123"/>
      <c r="D35" s="51">
        <v>1</v>
      </c>
      <c r="E35" s="209">
        <f>D35*(1+Assumptions!$V$69)</f>
        <v>1.03</v>
      </c>
      <c r="F35" s="209">
        <f>E35*(1+Assumptions!$V$69)</f>
        <v>1.0609</v>
      </c>
      <c r="G35" s="209">
        <f>F35*(1+Assumptions!$V$69)</f>
        <v>1.092727</v>
      </c>
      <c r="H35" s="209">
        <f>G35*(1+Assumptions!$V$69)</f>
        <v>1.1255088100000001</v>
      </c>
      <c r="I35" s="209">
        <f>H35*(1+Assumptions!$V$69)</f>
        <v>1.1592740743000001</v>
      </c>
      <c r="J35" s="209">
        <f>I35*(1+Assumptions!$V$69)</f>
        <v>1.1940522965290001</v>
      </c>
      <c r="K35" s="209">
        <f>J35*(1+Assumptions!$V$69)</f>
        <v>1.2298738654248702</v>
      </c>
      <c r="L35" s="209">
        <f>K35*(1+Assumptions!$V$69)</f>
        <v>1.2667700813876164</v>
      </c>
      <c r="M35" s="209">
        <f>L35*(1+Assumptions!$V$69)</f>
        <v>1.3047731838292449</v>
      </c>
      <c r="N35" s="209">
        <f>M35*(1+Assumptions!$V$69)</f>
        <v>1.3439163793441222</v>
      </c>
      <c r="O35" s="209">
        <f>N35*(1+Assumptions!$V$69)</f>
        <v>1.3842338707244459</v>
      </c>
      <c r="P35" s="209">
        <f>O35*(1+Assumptions!$V$69)</f>
        <v>1.4257608868461793</v>
      </c>
      <c r="Q35" s="209">
        <f>P35*(1+Assumptions!$V$69)</f>
        <v>1.4685337134515648</v>
      </c>
      <c r="R35" s="209">
        <f>Q35*(1+Assumptions!$V$69)</f>
        <v>1.5125897248551119</v>
      </c>
    </row>
    <row r="36" spans="2:18">
      <c r="B36" s="123"/>
      <c r="C36" s="123"/>
    </row>
    <row r="37" spans="2:18">
      <c r="B37" s="123" t="s">
        <v>415</v>
      </c>
      <c r="C37" s="123"/>
      <c r="D37" s="147">
        <f ca="1">D34*D32*Assumptions!$H$64</f>
        <v>0</v>
      </c>
      <c r="E37" s="147">
        <f ca="1">E34*E32*Assumptions!$H$64</f>
        <v>0</v>
      </c>
      <c r="F37" s="147">
        <f ca="1">F34*F32*Assumptions!$H$64</f>
        <v>0</v>
      </c>
      <c r="G37" s="147">
        <f ca="1">G34*G32*Assumptions!$H$64</f>
        <v>0</v>
      </c>
      <c r="H37" s="147">
        <f ca="1">H34*H32*Assumptions!$H$64</f>
        <v>9495575.5698938295</v>
      </c>
      <c r="I37" s="147">
        <f ca="1">I34*I32*Assumptions!$H$64</f>
        <v>19560885.673981287</v>
      </c>
      <c r="J37" s="147">
        <f ca="1">J34*J32*Assumptions!$H$64</f>
        <v>20147712.244200729</v>
      </c>
      <c r="K37" s="147">
        <f ca="1">K34*K32*Assumptions!$H$64</f>
        <v>20752143.61152675</v>
      </c>
      <c r="L37" s="147">
        <f ca="1">L34*L32*Assumptions!$H$64</f>
        <v>21374707.919872552</v>
      </c>
      <c r="M37" s="147">
        <f ca="1">M34*M32*Assumptions!$H$64</f>
        <v>22015949.157468732</v>
      </c>
      <c r="N37" s="147">
        <f ca="1">N34*N32*Assumptions!$H$64</f>
        <v>22676427.632192791</v>
      </c>
      <c r="O37" s="147">
        <f ca="1">O34*O32*Assumptions!$H$64</f>
        <v>23356720.461158577</v>
      </c>
      <c r="P37" s="147">
        <f ca="1">P34*P32*Assumptions!$H$64</f>
        <v>24057422.074993335</v>
      </c>
      <c r="Q37" s="147">
        <f ca="1">Q34*Q32*Assumptions!$H$64</f>
        <v>24779144.737243135</v>
      </c>
      <c r="R37" s="147">
        <f ca="1">R34*R32*Assumptions!$H$64</f>
        <v>25522519.079360433</v>
      </c>
    </row>
    <row r="38" spans="2:18">
      <c r="B38" s="123" t="s">
        <v>416</v>
      </c>
      <c r="C38" s="123"/>
      <c r="D38" s="147">
        <f ca="1">-D37*Assumptions!$W$51</f>
        <v>0</v>
      </c>
      <c r="E38" s="147">
        <f ca="1">-E37*Assumptions!$W$51</f>
        <v>0</v>
      </c>
      <c r="F38" s="147">
        <f ca="1">-F37*Assumptions!$W$51</f>
        <v>0</v>
      </c>
      <c r="G38" s="147">
        <f ca="1">-G37*Assumptions!$W$51</f>
        <v>0</v>
      </c>
      <c r="H38" s="147">
        <f ca="1">-H37*Assumptions!$W$51</f>
        <v>-474778.77849469148</v>
      </c>
      <c r="I38" s="147">
        <f ca="1">-I37*Assumptions!$W$51</f>
        <v>-978044.2836990644</v>
      </c>
      <c r="J38" s="147">
        <f ca="1">-J37*Assumptions!$W$51</f>
        <v>-1007385.6122100365</v>
      </c>
      <c r="K38" s="147">
        <f ca="1">-K37*Assumptions!$W$51</f>
        <v>-1037607.1805763375</v>
      </c>
      <c r="L38" s="147">
        <f ca="1">-L37*Assumptions!$W$51</f>
        <v>-1068735.3959936276</v>
      </c>
      <c r="M38" s="147">
        <f ca="1">-M37*Assumptions!$W$51</f>
        <v>-1100797.4578734366</v>
      </c>
      <c r="N38" s="147">
        <f ca="1">-N37*Assumptions!$W$51</f>
        <v>-1133821.3816096396</v>
      </c>
      <c r="O38" s="147">
        <f ca="1">-O37*Assumptions!$W$51</f>
        <v>-1167836.023057929</v>
      </c>
      <c r="P38" s="147">
        <f ca="1">-P37*Assumptions!$W$51</f>
        <v>-1202871.1037496668</v>
      </c>
      <c r="Q38" s="147">
        <f ca="1">-Q37*Assumptions!$W$51</f>
        <v>-1238957.2368621568</v>
      </c>
      <c r="R38" s="147">
        <f ca="1">-R37*Assumptions!$W$51</f>
        <v>-1276125.9539680218</v>
      </c>
    </row>
    <row r="39" spans="2:18">
      <c r="B39" s="128" t="s">
        <v>417</v>
      </c>
      <c r="C39" s="128"/>
      <c r="D39" s="147">
        <f ca="1">D38+D37</f>
        <v>0</v>
      </c>
      <c r="E39" s="147">
        <f ca="1">E38+E37</f>
        <v>0</v>
      </c>
      <c r="F39" s="147">
        <f ca="1">F38+F37</f>
        <v>0</v>
      </c>
      <c r="G39" s="147">
        <f ca="1">G38+G37</f>
        <v>0</v>
      </c>
      <c r="H39" s="147">
        <f ca="1">H38+H37</f>
        <v>9020796.791399138</v>
      </c>
      <c r="I39" s="147">
        <f ca="1">I38+I37</f>
        <v>18582841.390282221</v>
      </c>
      <c r="J39" s="147">
        <f ca="1">J38+J37</f>
        <v>19140326.631990694</v>
      </c>
      <c r="K39" s="147">
        <f ca="1">K38+K37</f>
        <v>19714536.430950411</v>
      </c>
      <c r="L39" s="147">
        <f ca="1">L38+L37</f>
        <v>20305972.523878925</v>
      </c>
      <c r="M39" s="147">
        <f ca="1">M38+M37</f>
        <v>20915151.699595295</v>
      </c>
      <c r="N39" s="147">
        <f ca="1">N38+N37</f>
        <v>21542606.250583149</v>
      </c>
      <c r="O39" s="147">
        <f t="shared" ref="O39:R39" ca="1" si="47">O38+O37</f>
        <v>22188884.438100647</v>
      </c>
      <c r="P39" s="147">
        <f t="shared" ca="1" si="47"/>
        <v>22854550.971243668</v>
      </c>
      <c r="Q39" s="147">
        <f t="shared" ca="1" si="47"/>
        <v>23540187.500380978</v>
      </c>
      <c r="R39" s="147">
        <f t="shared" ca="1" si="47"/>
        <v>24246393.125392411</v>
      </c>
    </row>
    <row r="40" spans="2:18">
      <c r="B40" s="128"/>
      <c r="C40" s="128"/>
      <c r="D40" s="138"/>
      <c r="E40" s="138"/>
      <c r="F40" s="138"/>
      <c r="G40" s="138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</row>
    <row r="41" spans="2:18">
      <c r="B41" s="128" t="s">
        <v>418</v>
      </c>
      <c r="C41" s="128"/>
      <c r="D41" s="147">
        <f ca="1">D39*(1-D43)</f>
        <v>0</v>
      </c>
      <c r="E41" s="147">
        <f t="shared" ref="E41:N41" ca="1" si="48">E39*(1-E43)</f>
        <v>0</v>
      </c>
      <c r="F41" s="147">
        <f t="shared" ca="1" si="48"/>
        <v>0</v>
      </c>
      <c r="G41" s="147">
        <f t="shared" ca="1" si="48"/>
        <v>0</v>
      </c>
      <c r="H41" s="147">
        <f t="shared" ca="1" si="48"/>
        <v>3157278.876989698</v>
      </c>
      <c r="I41" s="147">
        <f t="shared" ca="1" si="48"/>
        <v>6503994.4865987767</v>
      </c>
      <c r="J41" s="147">
        <f t="shared" ca="1" si="48"/>
        <v>6699114.3211967424</v>
      </c>
      <c r="K41" s="147">
        <f t="shared" ca="1" si="48"/>
        <v>6900087.7508326434</v>
      </c>
      <c r="L41" s="147">
        <f t="shared" ca="1" si="48"/>
        <v>7107090.3833576236</v>
      </c>
      <c r="M41" s="147">
        <f t="shared" ca="1" si="48"/>
        <v>7320303.094858353</v>
      </c>
      <c r="N41" s="147">
        <f t="shared" ca="1" si="48"/>
        <v>7539912.1877041021</v>
      </c>
      <c r="O41" s="147">
        <f t="shared" ref="O41:R41" ca="1" si="49">O39*(1-O43)</f>
        <v>7766109.5533352261</v>
      </c>
      <c r="P41" s="147">
        <f t="shared" ca="1" si="49"/>
        <v>7999092.8399352832</v>
      </c>
      <c r="Q41" s="147">
        <f t="shared" ca="1" si="49"/>
        <v>8239065.6251333421</v>
      </c>
      <c r="R41" s="147">
        <f t="shared" ca="1" si="49"/>
        <v>8486237.593887344</v>
      </c>
    </row>
    <row r="42" spans="2:18">
      <c r="B42" s="128"/>
      <c r="C42" s="128"/>
      <c r="D42" s="138"/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</row>
    <row r="43" spans="2:18">
      <c r="B43" s="123" t="s">
        <v>419</v>
      </c>
      <c r="C43" s="123"/>
      <c r="D43" s="85">
        <f>Assumptions!$W$81</f>
        <v>0.65</v>
      </c>
      <c r="E43" s="85">
        <f>Assumptions!$W$81</f>
        <v>0.65</v>
      </c>
      <c r="F43" s="85">
        <f>Assumptions!$W$81</f>
        <v>0.65</v>
      </c>
      <c r="G43" s="85">
        <f>Assumptions!$W$81</f>
        <v>0.65</v>
      </c>
      <c r="H43" s="85">
        <f>Assumptions!$W$81</f>
        <v>0.65</v>
      </c>
      <c r="I43" s="85">
        <f>Assumptions!$W$81</f>
        <v>0.65</v>
      </c>
      <c r="J43" s="85">
        <f>Assumptions!$W$81</f>
        <v>0.65</v>
      </c>
      <c r="K43" s="85">
        <f>Assumptions!$W$81</f>
        <v>0.65</v>
      </c>
      <c r="L43" s="85">
        <f>Assumptions!$W$81</f>
        <v>0.65</v>
      </c>
      <c r="M43" s="85">
        <f>Assumptions!$W$81</f>
        <v>0.65</v>
      </c>
      <c r="N43" s="85">
        <f>Assumptions!$W$81</f>
        <v>0.65</v>
      </c>
      <c r="O43" s="85">
        <f>Assumptions!$W$81</f>
        <v>0.65</v>
      </c>
      <c r="P43" s="85">
        <f>Assumptions!$W$81</f>
        <v>0.65</v>
      </c>
      <c r="Q43" s="85">
        <f>Assumptions!$W$81</f>
        <v>0.65</v>
      </c>
      <c r="R43" s="85">
        <f>Assumptions!$W$81</f>
        <v>0.65</v>
      </c>
    </row>
    <row r="44" spans="2:18" ht="17.100000000000001" thickBot="1">
      <c r="B44" s="123"/>
      <c r="C44" s="123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</row>
    <row r="45" spans="2:18" ht="17.100000000000001" thickBot="1">
      <c r="B45" s="315" t="s">
        <v>420</v>
      </c>
      <c r="C45" s="316"/>
      <c r="D45" s="289">
        <f ca="1">D43*D39</f>
        <v>0</v>
      </c>
      <c r="E45" s="289">
        <f t="shared" ref="E45:N45" ca="1" si="50">E43*E39</f>
        <v>0</v>
      </c>
      <c r="F45" s="289">
        <f t="shared" ca="1" si="50"/>
        <v>0</v>
      </c>
      <c r="G45" s="289">
        <f t="shared" ca="1" si="50"/>
        <v>0</v>
      </c>
      <c r="H45" s="289">
        <f t="shared" ca="1" si="50"/>
        <v>5863517.91440944</v>
      </c>
      <c r="I45" s="289">
        <f t="shared" ca="1" si="50"/>
        <v>12078846.903683444</v>
      </c>
      <c r="J45" s="289">
        <f t="shared" ca="1" si="50"/>
        <v>12441212.310793951</v>
      </c>
      <c r="K45" s="289">
        <f t="shared" ca="1" si="50"/>
        <v>12814448.680117767</v>
      </c>
      <c r="L45" s="289">
        <f t="shared" ca="1" si="50"/>
        <v>13198882.140521301</v>
      </c>
      <c r="M45" s="289">
        <f t="shared" ca="1" si="50"/>
        <v>13594848.604736943</v>
      </c>
      <c r="N45" s="289">
        <f t="shared" ca="1" si="50"/>
        <v>14002694.062879048</v>
      </c>
      <c r="O45" s="289">
        <f t="shared" ref="O45:R45" ca="1" si="51">O43*O39</f>
        <v>14422774.884765422</v>
      </c>
      <c r="P45" s="289">
        <f t="shared" ca="1" si="51"/>
        <v>14855458.131308384</v>
      </c>
      <c r="Q45" s="289">
        <f t="shared" ca="1" si="51"/>
        <v>15301121.875247637</v>
      </c>
      <c r="R45" s="290">
        <f t="shared" ca="1" si="51"/>
        <v>15760155.531505067</v>
      </c>
    </row>
    <row r="46" spans="2:18">
      <c r="B46" s="127" t="s">
        <v>421</v>
      </c>
      <c r="C46" s="127"/>
      <c r="D46" s="147">
        <f ca="1">D45/Assumptions!$W$90</f>
        <v>0</v>
      </c>
      <c r="E46" s="147">
        <f ca="1">E45/Assumptions!$W$90</f>
        <v>0</v>
      </c>
      <c r="F46" s="147">
        <f ca="1">F45/Assumptions!$W$90</f>
        <v>0</v>
      </c>
      <c r="G46" s="147">
        <f ca="1">G45/Assumptions!$W$90</f>
        <v>0</v>
      </c>
      <c r="H46" s="147">
        <f ca="1">H45/Assumptions!$W$90</f>
        <v>146587947.86023599</v>
      </c>
      <c r="I46" s="147">
        <f ca="1">I45/Assumptions!$W$90</f>
        <v>301971172.59208608</v>
      </c>
      <c r="J46" s="147">
        <f ca="1">J45/Assumptions!$W$90</f>
        <v>311030307.76984876</v>
      </c>
      <c r="K46" s="147">
        <f ca="1">K45/Assumptions!$W$90</f>
        <v>320361217.00294417</v>
      </c>
      <c r="L46" s="147">
        <f ca="1">L45/Assumptions!$W$90</f>
        <v>329972053.5130325</v>
      </c>
      <c r="M46" s="147">
        <f ca="1">M45/Assumptions!$W$90</f>
        <v>339871215.11842358</v>
      </c>
      <c r="N46" s="147">
        <f ca="1">N45/Assumptions!$W$90</f>
        <v>350067351.57197618</v>
      </c>
      <c r="O46" s="147">
        <f ca="1">O45/Assumptions!$W$90</f>
        <v>360569372.11913556</v>
      </c>
      <c r="P46" s="147">
        <f ca="1">P45/Assumptions!$W$90</f>
        <v>371386453.2827096</v>
      </c>
      <c r="Q46" s="147">
        <f ca="1">Q45/Assumptions!$W$90</f>
        <v>382528046.8811909</v>
      </c>
      <c r="R46" s="147">
        <f ca="1">R45/Assumptions!$W$90</f>
        <v>394003888.28762668</v>
      </c>
    </row>
    <row r="47" spans="2:18">
      <c r="B47" s="127"/>
      <c r="C47" s="127"/>
      <c r="D47" s="138"/>
      <c r="E47" s="138"/>
      <c r="F47" s="138"/>
      <c r="G47" s="138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</row>
    <row r="48" spans="2:18">
      <c r="B48" s="282"/>
      <c r="C48" s="282"/>
      <c r="D48" s="279">
        <f>D25</f>
        <v>2024</v>
      </c>
      <c r="E48" s="279">
        <f>E25</f>
        <v>2025</v>
      </c>
      <c r="F48" s="279">
        <f>F25</f>
        <v>2026</v>
      </c>
      <c r="G48" s="279">
        <f>G25</f>
        <v>2027</v>
      </c>
      <c r="H48" s="279">
        <f>H25</f>
        <v>2028</v>
      </c>
      <c r="I48" s="279">
        <f>I25</f>
        <v>2029</v>
      </c>
      <c r="J48" s="279">
        <f>J25</f>
        <v>2030</v>
      </c>
      <c r="K48" s="279">
        <f>K25</f>
        <v>2031</v>
      </c>
      <c r="L48" s="279">
        <f>L25</f>
        <v>2032</v>
      </c>
      <c r="M48" s="279">
        <f>M25</f>
        <v>2033</v>
      </c>
      <c r="N48" s="279">
        <f>N25</f>
        <v>2034</v>
      </c>
      <c r="O48" s="279">
        <f t="shared" ref="O48:R48" si="52">O25</f>
        <v>2035</v>
      </c>
      <c r="P48" s="279">
        <f t="shared" si="52"/>
        <v>2036</v>
      </c>
      <c r="Q48" s="279">
        <f t="shared" si="52"/>
        <v>2037</v>
      </c>
      <c r="R48" s="279">
        <f t="shared" si="52"/>
        <v>2038</v>
      </c>
    </row>
    <row r="49" spans="2:18" ht="18">
      <c r="B49" s="302" t="s">
        <v>124</v>
      </c>
      <c r="C49" s="283"/>
      <c r="D49" s="281">
        <f>D26</f>
        <v>45657</v>
      </c>
      <c r="E49" s="281">
        <f>E26</f>
        <v>46022</v>
      </c>
      <c r="F49" s="281">
        <f>F26</f>
        <v>46387</v>
      </c>
      <c r="G49" s="281">
        <f>G26</f>
        <v>46752</v>
      </c>
      <c r="H49" s="281">
        <f>H26</f>
        <v>47118</v>
      </c>
      <c r="I49" s="281">
        <f>I26</f>
        <v>47483</v>
      </c>
      <c r="J49" s="281">
        <f>J26</f>
        <v>47848</v>
      </c>
      <c r="K49" s="281">
        <f>K26</f>
        <v>48213</v>
      </c>
      <c r="L49" s="281">
        <f>L26</f>
        <v>48579</v>
      </c>
      <c r="M49" s="281">
        <f>M26</f>
        <v>48944</v>
      </c>
      <c r="N49" s="281">
        <f>N26</f>
        <v>49309</v>
      </c>
      <c r="O49" s="281">
        <f t="shared" ref="O49:R49" si="53">O26</f>
        <v>49674</v>
      </c>
      <c r="P49" s="281">
        <f t="shared" si="53"/>
        <v>50040</v>
      </c>
      <c r="Q49" s="281">
        <f t="shared" si="53"/>
        <v>50405</v>
      </c>
      <c r="R49" s="281">
        <f t="shared" si="53"/>
        <v>50770</v>
      </c>
    </row>
    <row r="50" spans="2:18">
      <c r="B50" s="134"/>
      <c r="C50" s="134"/>
    </row>
    <row r="51" spans="2:18">
      <c r="B51" s="123" t="s">
        <v>422</v>
      </c>
      <c r="C51" s="123"/>
      <c r="D51" s="91">
        <f>+IF(AND(D49&gt;=Assumptions!$N$86,D49&lt;Assumptions!$N$88),Assumptions!$H$87/ROUNDUP((Assumptions!$N$87/12),0),0)</f>
        <v>0</v>
      </c>
      <c r="E51" s="91">
        <f>+IF(AND(E49&gt;=Assumptions!$N$86,E49&lt;Assumptions!$N$88),Assumptions!$H$87/ROUNDUP((Assumptions!$N$87/12),0),0)</f>
        <v>0</v>
      </c>
      <c r="F51" s="91">
        <f>+IF(AND(F49&gt;=Assumptions!$N$86,F49&lt;Assumptions!$N$88),Assumptions!$H$87/ROUNDUP((Assumptions!$N$87/12),0),0)</f>
        <v>0</v>
      </c>
      <c r="G51" s="91">
        <f>+IF(AND(G49&gt;=Assumptions!$N$86,G49&lt;Assumptions!$N$88),Assumptions!$H$87/ROUNDUP((Assumptions!$N$87/12),0),0)</f>
        <v>0</v>
      </c>
      <c r="H51" s="91">
        <f>+IF(AND(H49&gt;=Assumptions!$N$86,H49&lt;Assumptions!$N$88),Assumptions!$H$87/ROUNDUP((Assumptions!$N$87/12),0),0)</f>
        <v>100000</v>
      </c>
      <c r="I51" s="91">
        <f>+IF(AND(I49&gt;=Assumptions!$N$86,I49&lt;Assumptions!$N$88),Assumptions!$H$87/ROUNDUP((Assumptions!$N$87/12),0),0)</f>
        <v>0</v>
      </c>
      <c r="J51" s="91">
        <f>+IF(AND(J49&gt;=Assumptions!$N$86,J49&lt;Assumptions!$N$88),Assumptions!$H$87/ROUNDUP((Assumptions!$N$87/12),0),0)</f>
        <v>0</v>
      </c>
      <c r="K51" s="91">
        <f>+IF(AND(K49&gt;=Assumptions!$N$86,K49&lt;Assumptions!$N$88),Assumptions!$H$87/ROUNDUP((Assumptions!$N$87/12),0),0)</f>
        <v>0</v>
      </c>
      <c r="L51" s="91">
        <f>+IF(AND(L49&gt;=Assumptions!$N$86,L49&lt;Assumptions!$N$88),Assumptions!$H$87/ROUNDUP((Assumptions!$N$87/12),0),0)</f>
        <v>0</v>
      </c>
      <c r="M51" s="91">
        <f>+IF(AND(M49&gt;=Assumptions!$N$86,M49&lt;Assumptions!$N$88),Assumptions!$H$87/ROUNDUP((Assumptions!$N$87/12),0),0)</f>
        <v>0</v>
      </c>
      <c r="N51" s="91">
        <f>+IF(AND(N49&gt;=Assumptions!$N$86,N49&lt;Assumptions!$N$88),Assumptions!$H$87/ROUNDUP((Assumptions!$N$87/12),0),0)</f>
        <v>0</v>
      </c>
      <c r="O51" s="91">
        <f>+IF(AND(O49&gt;=Assumptions!$N$86,O49&lt;Assumptions!$N$88),Assumptions!$H$87/ROUNDUP((Assumptions!$N$87/12),0),0)</f>
        <v>0</v>
      </c>
      <c r="P51" s="91">
        <f>+IF(AND(P49&gt;=Assumptions!$N$86,P49&lt;Assumptions!$N$88),Assumptions!$H$87/ROUNDUP((Assumptions!$N$87/12),0),0)</f>
        <v>0</v>
      </c>
      <c r="Q51" s="91">
        <f>+IF(AND(Q49&gt;=Assumptions!$N$86,Q49&lt;Assumptions!$N$88),Assumptions!$H$87/ROUNDUP((Assumptions!$N$87/12),0),0)</f>
        <v>0</v>
      </c>
      <c r="R51" s="91">
        <f>+IF(AND(R49&gt;=Assumptions!$N$86,R49&lt;Assumptions!$N$88),Assumptions!$H$87/ROUNDUP((Assumptions!$N$87/12),0),0)</f>
        <v>0</v>
      </c>
    </row>
    <row r="52" spans="2:18">
      <c r="B52" s="123" t="s">
        <v>423</v>
      </c>
      <c r="C52" s="123"/>
      <c r="D52" s="91">
        <v>0</v>
      </c>
      <c r="E52" s="91">
        <f>D52+E51</f>
        <v>0</v>
      </c>
      <c r="F52" s="91">
        <f t="shared" ref="F52:N52" si="54">E52+F51</f>
        <v>0</v>
      </c>
      <c r="G52" s="91">
        <f t="shared" si="54"/>
        <v>0</v>
      </c>
      <c r="H52" s="91">
        <f t="shared" si="54"/>
        <v>100000</v>
      </c>
      <c r="I52" s="91">
        <f t="shared" si="54"/>
        <v>100000</v>
      </c>
      <c r="J52" s="91">
        <f t="shared" si="54"/>
        <v>100000</v>
      </c>
      <c r="K52" s="91">
        <f t="shared" si="54"/>
        <v>100000</v>
      </c>
      <c r="L52" s="91">
        <f t="shared" si="54"/>
        <v>100000</v>
      </c>
      <c r="M52" s="91">
        <f t="shared" si="54"/>
        <v>100000</v>
      </c>
      <c r="N52" s="91">
        <f t="shared" si="54"/>
        <v>100000</v>
      </c>
      <c r="O52" s="91">
        <f t="shared" ref="O52" si="55">N52+O51</f>
        <v>100000</v>
      </c>
      <c r="P52" s="91">
        <f t="shared" ref="P52" si="56">O52+P51</f>
        <v>100000</v>
      </c>
      <c r="Q52" s="91">
        <f t="shared" ref="Q52" si="57">P52+Q51</f>
        <v>100000</v>
      </c>
      <c r="R52" s="91">
        <f t="shared" ref="R52" si="58">Q52+R51</f>
        <v>100000</v>
      </c>
    </row>
    <row r="53" spans="2:18">
      <c r="B53" s="123" t="s">
        <v>412</v>
      </c>
      <c r="C53" s="123"/>
      <c r="D53" s="85">
        <f>D52/SUM($D$51:$N$51)</f>
        <v>0</v>
      </c>
      <c r="E53" s="85">
        <f t="shared" ref="E53:N53" si="59">E52/SUM($D$51:$N$51)</f>
        <v>0</v>
      </c>
      <c r="F53" s="85">
        <f t="shared" si="59"/>
        <v>0</v>
      </c>
      <c r="G53" s="85">
        <f t="shared" si="59"/>
        <v>0</v>
      </c>
      <c r="H53" s="85">
        <f t="shared" si="59"/>
        <v>1</v>
      </c>
      <c r="I53" s="85">
        <f t="shared" si="59"/>
        <v>1</v>
      </c>
      <c r="J53" s="85">
        <f t="shared" si="59"/>
        <v>1</v>
      </c>
      <c r="K53" s="85">
        <f t="shared" si="59"/>
        <v>1</v>
      </c>
      <c r="L53" s="85">
        <f t="shared" si="59"/>
        <v>1</v>
      </c>
      <c r="M53" s="85">
        <f t="shared" si="59"/>
        <v>1</v>
      </c>
      <c r="N53" s="85">
        <f t="shared" si="59"/>
        <v>1</v>
      </c>
      <c r="O53" s="85">
        <f t="shared" ref="O53" si="60">O52/SUM($D$51:$N$51)</f>
        <v>1</v>
      </c>
      <c r="P53" s="85">
        <f t="shared" ref="P53" si="61">P52/SUM($D$51:$N$51)</f>
        <v>1</v>
      </c>
      <c r="Q53" s="85">
        <f t="shared" ref="Q53" si="62">Q52/SUM($D$51:$N$51)</f>
        <v>1</v>
      </c>
      <c r="R53" s="85">
        <f t="shared" ref="R53" si="63">R52/SUM($D$51:$N$51)</f>
        <v>1</v>
      </c>
    </row>
    <row r="54" spans="2:18">
      <c r="B54" s="123"/>
      <c r="C54" s="123"/>
    </row>
    <row r="55" spans="2:18">
      <c r="B55" s="123" t="s">
        <v>413</v>
      </c>
      <c r="C55" s="123"/>
      <c r="D55" s="51">
        <v>1</v>
      </c>
      <c r="E55" s="85">
        <f>D55*(1+Assumptions!$V$62/Assumptions!$V$63)</f>
        <v>1.0333333333333334</v>
      </c>
      <c r="F55" s="85">
        <f>E55*(1+Assumptions!$V$62/Assumptions!$V$63)</f>
        <v>1.0677777777777779</v>
      </c>
      <c r="G55" s="85">
        <f>F55*(1+Assumptions!$V$62/Assumptions!$V$63)</f>
        <v>1.1033703703703706</v>
      </c>
      <c r="H55" s="85">
        <f>G55*(1+Assumptions!$V$62/Assumptions!$V$63)</f>
        <v>1.1401493827160496</v>
      </c>
      <c r="I55" s="85">
        <f>H55*(1+Assumptions!$V$62/Assumptions!$V$63)</f>
        <v>1.178154362139918</v>
      </c>
      <c r="J55" s="85">
        <f>I55*(1+Assumptions!$V$62/Assumptions!$V$63)</f>
        <v>1.2174261742112487</v>
      </c>
      <c r="K55" s="85">
        <f>J55*(1+Assumptions!$V$62/Assumptions!$V$63)</f>
        <v>1.2580070466849571</v>
      </c>
      <c r="L55" s="85">
        <f>K55*(1+Assumptions!$V$62/Assumptions!$V$63)</f>
        <v>1.2999406149077892</v>
      </c>
      <c r="M55" s="85">
        <f>L55*(1+Assumptions!$V$62/Assumptions!$V$63)</f>
        <v>1.343271968738049</v>
      </c>
      <c r="N55" s="85">
        <f>M55*(1+Assumptions!$V$62/Assumptions!$V$63)</f>
        <v>1.3880477010293175</v>
      </c>
      <c r="O55" s="85">
        <f>N55*(1+Assumptions!$V$62/Assumptions!$V$63)</f>
        <v>1.4343159577302949</v>
      </c>
      <c r="P55" s="85">
        <f>O55*(1+Assumptions!$V$62/Assumptions!$V$63)</f>
        <v>1.4821264896546382</v>
      </c>
      <c r="Q55" s="85">
        <f>P55*(1+Assumptions!$V$62/Assumptions!$V$63)</f>
        <v>1.5315307059764596</v>
      </c>
      <c r="R55" s="85">
        <f>Q55*(1+Assumptions!$V$62/Assumptions!$V$63)</f>
        <v>1.5825817295090083</v>
      </c>
    </row>
    <row r="56" spans="2:18">
      <c r="B56" s="123" t="s">
        <v>414</v>
      </c>
      <c r="C56" s="123"/>
      <c r="D56" s="51">
        <v>1</v>
      </c>
      <c r="E56" s="51">
        <f>D56*(1+Assumptions!$V$71)</f>
        <v>1.03</v>
      </c>
      <c r="F56" s="51">
        <f>E56*(1+Assumptions!$V$71)</f>
        <v>1.0609</v>
      </c>
      <c r="G56" s="51">
        <f>F56*(1+Assumptions!$V$71)</f>
        <v>1.092727</v>
      </c>
      <c r="H56" s="51">
        <f>G56*(1+Assumptions!$V$71)</f>
        <v>1.1255088100000001</v>
      </c>
      <c r="I56" s="51">
        <f>H56*(1+Assumptions!$V$71)</f>
        <v>1.1592740743000001</v>
      </c>
      <c r="J56" s="51">
        <f>I56*(1+Assumptions!$V$71)</f>
        <v>1.1940522965290001</v>
      </c>
      <c r="K56" s="51">
        <f>J56*(1+Assumptions!$V$71)</f>
        <v>1.2298738654248702</v>
      </c>
      <c r="L56" s="51">
        <f>K56*(1+Assumptions!$V$71)</f>
        <v>1.2667700813876164</v>
      </c>
      <c r="M56" s="51">
        <f>L56*(1+Assumptions!$V$71)</f>
        <v>1.3047731838292449</v>
      </c>
      <c r="N56" s="51">
        <f>M56*(1+Assumptions!$V$71)</f>
        <v>1.3439163793441222</v>
      </c>
      <c r="O56" s="51">
        <f>N56*(1+Assumptions!$V$71)</f>
        <v>1.3842338707244459</v>
      </c>
      <c r="P56" s="51">
        <f>O56*(1+Assumptions!$V$71)</f>
        <v>1.4257608868461793</v>
      </c>
      <c r="Q56" s="51">
        <f>P56*(1+Assumptions!$V$71)</f>
        <v>1.4685337134515648</v>
      </c>
      <c r="R56" s="51">
        <f>Q56*(1+Assumptions!$V$71)</f>
        <v>1.5125897248551119</v>
      </c>
    </row>
    <row r="57" spans="2:18">
      <c r="B57" s="123"/>
      <c r="C57" s="123"/>
    </row>
    <row r="58" spans="2:18">
      <c r="B58" s="123" t="s">
        <v>415</v>
      </c>
      <c r="C58" s="123"/>
      <c r="D58" s="147">
        <f ca="1">D55*D53*Assumptions!$H$86</f>
        <v>0</v>
      </c>
      <c r="E58" s="147">
        <f ca="1">E55*E53*Assumptions!$H$86</f>
        <v>0</v>
      </c>
      <c r="F58" s="147">
        <f ca="1">F55*F53*Assumptions!$H$86</f>
        <v>0</v>
      </c>
      <c r="G58" s="147">
        <f ca="1">G55*G53*Assumptions!$H$86</f>
        <v>0</v>
      </c>
      <c r="H58" s="147">
        <f ca="1">H55*H53*Assumptions!$H$86</f>
        <v>5552190.8041172698</v>
      </c>
      <c r="I58" s="147">
        <f ca="1">I55*I53*Assumptions!$H$86</f>
        <v>5737263.8309211787</v>
      </c>
      <c r="J58" s="147">
        <f ca="1">J55*J53*Assumptions!$H$86</f>
        <v>5928505.9586185515</v>
      </c>
      <c r="K58" s="147">
        <f ca="1">K55*K53*Assumptions!$H$86</f>
        <v>6126122.8239058377</v>
      </c>
      <c r="L58" s="147">
        <f ca="1">L55*L53*Assumptions!$H$86</f>
        <v>6330326.9180360334</v>
      </c>
      <c r="M58" s="147">
        <f ca="1">M55*M53*Assumptions!$H$86</f>
        <v>6541337.8153039021</v>
      </c>
      <c r="N58" s="147">
        <f ca="1">N55*N53*Assumptions!$H$86</f>
        <v>6759382.409147366</v>
      </c>
      <c r="O58" s="147">
        <f ca="1">O55*O53*Assumptions!$H$86</f>
        <v>6984695.1561189452</v>
      </c>
      <c r="P58" s="147">
        <f ca="1">P55*P53*Assumptions!$H$86</f>
        <v>7217518.3279895782</v>
      </c>
      <c r="Q58" s="147">
        <f ca="1">Q55*Q53*Assumptions!$H$86</f>
        <v>7458102.2722558975</v>
      </c>
      <c r="R58" s="147">
        <f ca="1">R55*R53*Assumptions!$H$86</f>
        <v>7706705.6813310944</v>
      </c>
    </row>
    <row r="59" spans="2:18">
      <c r="B59" s="123" t="s">
        <v>416</v>
      </c>
      <c r="C59" s="123"/>
      <c r="D59" s="147">
        <f ca="1">-D58*Assumptions!$W$53</f>
        <v>0</v>
      </c>
      <c r="E59" s="147">
        <f ca="1">-E58*Assumptions!$W$53</f>
        <v>0</v>
      </c>
      <c r="F59" s="147">
        <f ca="1">-F58*Assumptions!$W$53</f>
        <v>0</v>
      </c>
      <c r="G59" s="147">
        <f ca="1">-G58*Assumptions!$W$53</f>
        <v>0</v>
      </c>
      <c r="H59" s="147">
        <f ca="1">-H58*Assumptions!$W$53</f>
        <v>-555219.08041172696</v>
      </c>
      <c r="I59" s="147">
        <f ca="1">-I58*Assumptions!$W$53</f>
        <v>-573726.38309211785</v>
      </c>
      <c r="J59" s="147">
        <f ca="1">-J58*Assumptions!$W$53</f>
        <v>-592850.5958618552</v>
      </c>
      <c r="K59" s="147">
        <f ca="1">-K58*Assumptions!$W$53</f>
        <v>-612612.28239058377</v>
      </c>
      <c r="L59" s="147">
        <f ca="1">-L58*Assumptions!$W$53</f>
        <v>-633032.69180360343</v>
      </c>
      <c r="M59" s="147">
        <f ca="1">-M58*Assumptions!$W$53</f>
        <v>-654133.78153039026</v>
      </c>
      <c r="N59" s="147">
        <f ca="1">-N58*Assumptions!$W$53</f>
        <v>-675938.24091473664</v>
      </c>
      <c r="O59" s="147">
        <f ca="1">-O58*Assumptions!$W$53</f>
        <v>-698469.51561189455</v>
      </c>
      <c r="P59" s="147">
        <f ca="1">-P58*Assumptions!$W$53</f>
        <v>-721751.83279895782</v>
      </c>
      <c r="Q59" s="147">
        <f ca="1">-Q58*Assumptions!$W$53</f>
        <v>-745810.2272255898</v>
      </c>
      <c r="R59" s="147">
        <f ca="1">-R58*Assumptions!$W$53</f>
        <v>-770670.56813310948</v>
      </c>
    </row>
    <row r="60" spans="2:18">
      <c r="B60" s="128" t="s">
        <v>417</v>
      </c>
      <c r="C60" s="128"/>
      <c r="D60" s="147">
        <f ca="1">D59+D58</f>
        <v>0</v>
      </c>
      <c r="E60" s="147">
        <f t="shared" ref="E60:N60" ca="1" si="64">E59+E58</f>
        <v>0</v>
      </c>
      <c r="F60" s="147">
        <f t="shared" ca="1" si="64"/>
        <v>0</v>
      </c>
      <c r="G60" s="147">
        <f t="shared" ca="1" si="64"/>
        <v>0</v>
      </c>
      <c r="H60" s="147">
        <f t="shared" ca="1" si="64"/>
        <v>4996971.7237055432</v>
      </c>
      <c r="I60" s="147">
        <f t="shared" ca="1" si="64"/>
        <v>5163537.4478290612</v>
      </c>
      <c r="J60" s="147">
        <f t="shared" ca="1" si="64"/>
        <v>5335655.3627566965</v>
      </c>
      <c r="K60" s="147">
        <f t="shared" ca="1" si="64"/>
        <v>5513510.5415152535</v>
      </c>
      <c r="L60" s="147">
        <f t="shared" ca="1" si="64"/>
        <v>5697294.22623243</v>
      </c>
      <c r="M60" s="147">
        <f t="shared" ca="1" si="64"/>
        <v>5887204.0337735116</v>
      </c>
      <c r="N60" s="147">
        <f t="shared" ca="1" si="64"/>
        <v>6083444.1682326291</v>
      </c>
      <c r="O60" s="147">
        <f t="shared" ref="O60" ca="1" si="65">O59+O58</f>
        <v>6286225.6405070508</v>
      </c>
      <c r="P60" s="147">
        <f t="shared" ref="P60" ca="1" si="66">P59+P58</f>
        <v>6495766.4951906204</v>
      </c>
      <c r="Q60" s="147">
        <f t="shared" ref="Q60" ca="1" si="67">Q59+Q58</f>
        <v>6712292.045030308</v>
      </c>
      <c r="R60" s="147">
        <f t="shared" ref="R60" ca="1" si="68">R59+R58</f>
        <v>6936035.1131979851</v>
      </c>
    </row>
    <row r="61" spans="2:18">
      <c r="B61" s="128"/>
      <c r="C61" s="128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</row>
    <row r="62" spans="2:18">
      <c r="B62" s="128" t="s">
        <v>418</v>
      </c>
      <c r="C62" s="128"/>
      <c r="D62" s="147">
        <f ca="1">D60*(1-D64)</f>
        <v>0</v>
      </c>
      <c r="E62" s="147">
        <f t="shared" ref="E62:N62" ca="1" si="69">E60*(1-E64)</f>
        <v>0</v>
      </c>
      <c r="F62" s="147">
        <f t="shared" ca="1" si="69"/>
        <v>0</v>
      </c>
      <c r="G62" s="147">
        <f t="shared" ca="1" si="69"/>
        <v>0</v>
      </c>
      <c r="H62" s="147">
        <f t="shared" ca="1" si="69"/>
        <v>149909.15171116643</v>
      </c>
      <c r="I62" s="147">
        <f t="shared" ca="1" si="69"/>
        <v>154906.12343487196</v>
      </c>
      <c r="J62" s="147">
        <f t="shared" ca="1" si="69"/>
        <v>160069.66088270105</v>
      </c>
      <c r="K62" s="147">
        <f t="shared" ca="1" si="69"/>
        <v>165405.31624545774</v>
      </c>
      <c r="L62" s="147">
        <f t="shared" ca="1" si="69"/>
        <v>170918.82678697305</v>
      </c>
      <c r="M62" s="147">
        <f t="shared" ca="1" si="69"/>
        <v>176616.1210132055</v>
      </c>
      <c r="N62" s="147">
        <f t="shared" ca="1" si="69"/>
        <v>182503.32504697904</v>
      </c>
      <c r="O62" s="147">
        <f t="shared" ref="O62:R62" ca="1" si="70">O60*(1-O64)</f>
        <v>188586.76921521168</v>
      </c>
      <c r="P62" s="147">
        <f t="shared" ca="1" si="70"/>
        <v>194872.99485571877</v>
      </c>
      <c r="Q62" s="147">
        <f t="shared" ca="1" si="70"/>
        <v>201368.76135090942</v>
      </c>
      <c r="R62" s="147">
        <f t="shared" ca="1" si="70"/>
        <v>208081.05339593973</v>
      </c>
    </row>
    <row r="63" spans="2:18"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</row>
    <row r="64" spans="2:18">
      <c r="B64" s="128" t="s">
        <v>419</v>
      </c>
      <c r="C64" s="128"/>
      <c r="D64" s="85">
        <f>Assumptions!$W$83</f>
        <v>0.97</v>
      </c>
      <c r="E64" s="85">
        <f>Assumptions!$W$83</f>
        <v>0.97</v>
      </c>
      <c r="F64" s="85">
        <f>Assumptions!$W$83</f>
        <v>0.97</v>
      </c>
      <c r="G64" s="85">
        <f>Assumptions!$W$83</f>
        <v>0.97</v>
      </c>
      <c r="H64" s="85">
        <f>Assumptions!$W$83</f>
        <v>0.97</v>
      </c>
      <c r="I64" s="85">
        <f>Assumptions!$W$83</f>
        <v>0.97</v>
      </c>
      <c r="J64" s="85">
        <f>Assumptions!$W$83</f>
        <v>0.97</v>
      </c>
      <c r="K64" s="85">
        <f>Assumptions!$W$83</f>
        <v>0.97</v>
      </c>
      <c r="L64" s="85">
        <f>Assumptions!$W$83</f>
        <v>0.97</v>
      </c>
      <c r="M64" s="85">
        <f>Assumptions!$W$83</f>
        <v>0.97</v>
      </c>
      <c r="N64" s="85">
        <f>Assumptions!$W$83</f>
        <v>0.97</v>
      </c>
      <c r="O64" s="85">
        <f>Assumptions!$W$83</f>
        <v>0.97</v>
      </c>
      <c r="P64" s="85">
        <f>Assumptions!$W$83</f>
        <v>0.97</v>
      </c>
      <c r="Q64" s="85">
        <f>Assumptions!$W$83</f>
        <v>0.97</v>
      </c>
      <c r="R64" s="85">
        <f>Assumptions!$W$83</f>
        <v>0.97</v>
      </c>
    </row>
    <row r="65" spans="2:18" ht="17.100000000000001" thickBot="1">
      <c r="B65" s="123"/>
      <c r="C65" s="123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</row>
    <row r="66" spans="2:18" ht="17.100000000000001" thickBot="1">
      <c r="B66" s="287" t="s">
        <v>420</v>
      </c>
      <c r="C66" s="288"/>
      <c r="D66" s="289">
        <f ca="1">D64*D60</f>
        <v>0</v>
      </c>
      <c r="E66" s="289">
        <f t="shared" ref="E66:N66" ca="1" si="71">E64*E60</f>
        <v>0</v>
      </c>
      <c r="F66" s="289">
        <f t="shared" ca="1" si="71"/>
        <v>0</v>
      </c>
      <c r="G66" s="289">
        <f t="shared" ca="1" si="71"/>
        <v>0</v>
      </c>
      <c r="H66" s="289">
        <f t="shared" ca="1" si="71"/>
        <v>4847062.5719943764</v>
      </c>
      <c r="I66" s="289">
        <f t="shared" ca="1" si="71"/>
        <v>5008631.3243941888</v>
      </c>
      <c r="J66" s="289">
        <f t="shared" ca="1" si="71"/>
        <v>5175585.7018739954</v>
      </c>
      <c r="K66" s="289">
        <f t="shared" ca="1" si="71"/>
        <v>5348105.2252697954</v>
      </c>
      <c r="L66" s="289">
        <f t="shared" ca="1" si="71"/>
        <v>5526375.3994454565</v>
      </c>
      <c r="M66" s="289">
        <f t="shared" ca="1" si="71"/>
        <v>5710587.9127603061</v>
      </c>
      <c r="N66" s="290">
        <f t="shared" ca="1" si="71"/>
        <v>5900940.8431856502</v>
      </c>
      <c r="O66" s="290">
        <f t="shared" ref="O66:R66" ca="1" si="72">O64*O60</f>
        <v>6097638.8712918395</v>
      </c>
      <c r="P66" s="290">
        <f t="shared" ca="1" si="72"/>
        <v>6300893.5003349017</v>
      </c>
      <c r="Q66" s="290">
        <f t="shared" ca="1" si="72"/>
        <v>6510923.2836793987</v>
      </c>
      <c r="R66" s="290">
        <f t="shared" ca="1" si="72"/>
        <v>6727954.0598020451</v>
      </c>
    </row>
    <row r="67" spans="2:18">
      <c r="B67" s="127" t="s">
        <v>421</v>
      </c>
      <c r="C67" s="127"/>
      <c r="D67" s="147">
        <f ca="1">D66/Assumptions!$W$91</f>
        <v>0</v>
      </c>
      <c r="E67" s="147">
        <f ca="1">E66/Assumptions!$W$91</f>
        <v>0</v>
      </c>
      <c r="F67" s="147">
        <f ca="1">F66/Assumptions!$W$91</f>
        <v>0</v>
      </c>
      <c r="G67" s="147">
        <f ca="1">G66/Assumptions!$W$91</f>
        <v>0</v>
      </c>
      <c r="H67" s="147">
        <f ca="1">H66/Assumptions!$W$91</f>
        <v>96941251.439887524</v>
      </c>
      <c r="I67" s="147">
        <f ca="1">I66/Assumptions!$W$91</f>
        <v>100172626.48788378</v>
      </c>
      <c r="J67" s="147">
        <f ca="1">J66/Assumptions!$W$91</f>
        <v>103511714.03747991</v>
      </c>
      <c r="K67" s="147">
        <f ca="1">K66/Assumptions!$W$91</f>
        <v>106962104.5053959</v>
      </c>
      <c r="L67" s="147">
        <f ca="1">L66/Assumptions!$W$91</f>
        <v>110527507.98890913</v>
      </c>
      <c r="M67" s="147">
        <f ca="1">M66/Assumptions!$W$91</f>
        <v>114211758.25520612</v>
      </c>
      <c r="N67" s="147">
        <f ca="1">N66/Assumptions!$W$91</f>
        <v>118018816.863713</v>
      </c>
      <c r="O67" s="147">
        <f ca="1">O66/Assumptions!$W$91</f>
        <v>121952777.42583679</v>
      </c>
      <c r="P67" s="147">
        <f ca="1">P66/Assumptions!$W$91</f>
        <v>126017870.00669803</v>
      </c>
      <c r="Q67" s="147">
        <f ca="1">Q66/Assumptions!$W$91</f>
        <v>130218465.67358796</v>
      </c>
      <c r="R67" s="147">
        <f ca="1">R66/Assumptions!$W$91</f>
        <v>134559081.1960409</v>
      </c>
    </row>
    <row r="69" spans="2:18">
      <c r="B69" s="282"/>
      <c r="C69" s="282"/>
      <c r="D69" s="279">
        <f>D48</f>
        <v>2024</v>
      </c>
      <c r="E69" s="279">
        <f t="shared" ref="E69:N70" si="73">E48</f>
        <v>2025</v>
      </c>
      <c r="F69" s="279">
        <f t="shared" si="73"/>
        <v>2026</v>
      </c>
      <c r="G69" s="279">
        <f t="shared" si="73"/>
        <v>2027</v>
      </c>
      <c r="H69" s="279">
        <f t="shared" si="73"/>
        <v>2028</v>
      </c>
      <c r="I69" s="279">
        <f t="shared" si="73"/>
        <v>2029</v>
      </c>
      <c r="J69" s="279">
        <f t="shared" si="73"/>
        <v>2030</v>
      </c>
      <c r="K69" s="279">
        <f t="shared" si="73"/>
        <v>2031</v>
      </c>
      <c r="L69" s="279">
        <f t="shared" si="73"/>
        <v>2032</v>
      </c>
      <c r="M69" s="279">
        <f t="shared" si="73"/>
        <v>2033</v>
      </c>
      <c r="N69" s="279">
        <f t="shared" si="73"/>
        <v>2034</v>
      </c>
      <c r="O69" s="279">
        <f t="shared" ref="O69:R69" si="74">O48</f>
        <v>2035</v>
      </c>
      <c r="P69" s="279">
        <f t="shared" si="74"/>
        <v>2036</v>
      </c>
      <c r="Q69" s="279">
        <f t="shared" si="74"/>
        <v>2037</v>
      </c>
      <c r="R69" s="279">
        <f t="shared" si="74"/>
        <v>2038</v>
      </c>
    </row>
    <row r="70" spans="2:18" ht="18">
      <c r="B70" s="302" t="s">
        <v>18</v>
      </c>
      <c r="C70" s="283"/>
      <c r="D70" s="281">
        <f>D49</f>
        <v>45657</v>
      </c>
      <c r="E70" s="281">
        <f t="shared" si="73"/>
        <v>46022</v>
      </c>
      <c r="F70" s="281">
        <f t="shared" si="73"/>
        <v>46387</v>
      </c>
      <c r="G70" s="281">
        <f t="shared" si="73"/>
        <v>46752</v>
      </c>
      <c r="H70" s="281">
        <f t="shared" si="73"/>
        <v>47118</v>
      </c>
      <c r="I70" s="281">
        <f t="shared" si="73"/>
        <v>47483</v>
      </c>
      <c r="J70" s="281">
        <f t="shared" si="73"/>
        <v>47848</v>
      </c>
      <c r="K70" s="281">
        <f t="shared" si="73"/>
        <v>48213</v>
      </c>
      <c r="L70" s="281">
        <f t="shared" si="73"/>
        <v>48579</v>
      </c>
      <c r="M70" s="281">
        <f t="shared" si="73"/>
        <v>48944</v>
      </c>
      <c r="N70" s="281">
        <f t="shared" si="73"/>
        <v>49309</v>
      </c>
      <c r="O70" s="281">
        <f t="shared" ref="O70:R70" si="75">O49</f>
        <v>49674</v>
      </c>
      <c r="P70" s="281">
        <f t="shared" si="75"/>
        <v>50040</v>
      </c>
      <c r="Q70" s="281">
        <f t="shared" si="75"/>
        <v>50405</v>
      </c>
      <c r="R70" s="281">
        <f t="shared" si="75"/>
        <v>50770</v>
      </c>
    </row>
    <row r="71" spans="2:18">
      <c r="B71" s="134"/>
      <c r="C71" s="134"/>
    </row>
    <row r="72" spans="2:18">
      <c r="B72" s="123" t="s">
        <v>408</v>
      </c>
      <c r="C72" s="123"/>
      <c r="D72" s="91">
        <f>+IF(AND(D70&gt;=Assumptions!$N$96,D70&lt;Assumptions!$N$98),Assumptions!$H$97/ROUNDUP((Assumptions!$N$97/12),0),0)</f>
        <v>0</v>
      </c>
      <c r="E72" s="91">
        <f>+IF(AND(E70&gt;=Assumptions!$N$96,E70&lt;Assumptions!$N$98),Assumptions!$H$97/ROUNDUP((Assumptions!$N$97/12),0),0)</f>
        <v>0</v>
      </c>
      <c r="F72" s="91">
        <f>+IF(AND(F70&gt;=Assumptions!$N$96,F70&lt;Assumptions!$N$98),Assumptions!$H$97/ROUNDUP((Assumptions!$N$97/12),0),0)</f>
        <v>0</v>
      </c>
      <c r="G72" s="91">
        <f>+IF(AND(G70&gt;=Assumptions!$N$96,G70&lt;Assumptions!$N$98),Assumptions!$H$97/ROUNDUP((Assumptions!$N$97/12),0),0)</f>
        <v>0</v>
      </c>
      <c r="H72" s="91">
        <f>+IF(AND(H70&gt;=Assumptions!$N$96,H70&lt;Assumptions!$N$98),Assumptions!$H$97/ROUNDUP((Assumptions!$N$97/12),0),0)</f>
        <v>40000</v>
      </c>
      <c r="I72" s="91">
        <f>+IF(AND(I70&gt;=Assumptions!$N$96,I70&lt;Assumptions!$N$98),Assumptions!$H$97/ROUNDUP((Assumptions!$N$97/12),0),0)</f>
        <v>40000</v>
      </c>
      <c r="J72" s="91">
        <f>+IF(AND(J70&gt;=Assumptions!$N$96,J70&lt;Assumptions!$N$98),Assumptions!$H$97/ROUNDUP((Assumptions!$N$97/12),0),0)</f>
        <v>0</v>
      </c>
      <c r="K72" s="91">
        <f>+IF(AND(K70&gt;=Assumptions!$N$96,K70&lt;Assumptions!$N$98),Assumptions!$H$97/ROUNDUP((Assumptions!$N$97/12),0),0)</f>
        <v>0</v>
      </c>
      <c r="L72" s="91">
        <f>+IF(AND(L70&gt;=Assumptions!$N$96,L70&lt;Assumptions!$N$98),Assumptions!$H$97/ROUNDUP((Assumptions!$N$97/12),0),0)</f>
        <v>0</v>
      </c>
      <c r="M72" s="91">
        <f>+IF(AND(M70&gt;=Assumptions!$N$96,M70&lt;Assumptions!$N$98),Assumptions!$H$97/ROUNDUP((Assumptions!$N$97/12),0),0)</f>
        <v>0</v>
      </c>
      <c r="N72" s="91">
        <f>+IF(AND(N70&gt;=Assumptions!$N$96,N70&lt;Assumptions!$N$98),Assumptions!$H$97/ROUNDUP((Assumptions!$N$97/12),0),0)</f>
        <v>0</v>
      </c>
      <c r="O72" s="91">
        <f>+IF(AND(O70&gt;=Assumptions!$N$96,O70&lt;Assumptions!$N$98),Assumptions!$H$97/ROUNDUP((Assumptions!$N$97/12),0),0)</f>
        <v>0</v>
      </c>
      <c r="P72" s="91">
        <f>+IF(AND(P70&gt;=Assumptions!$N$96,P70&lt;Assumptions!$N$98),Assumptions!$H$97/ROUNDUP((Assumptions!$N$97/12),0),0)</f>
        <v>0</v>
      </c>
      <c r="Q72" s="91">
        <f>+IF(AND(Q70&gt;=Assumptions!$N$96,Q70&lt;Assumptions!$N$98),Assumptions!$H$97/ROUNDUP((Assumptions!$N$97/12),0),0)</f>
        <v>0</v>
      </c>
      <c r="R72" s="91">
        <f>+IF(AND(R70&gt;=Assumptions!$N$96,R70&lt;Assumptions!$N$98),Assumptions!$H$97/ROUNDUP((Assumptions!$N$97/12),0),0)</f>
        <v>0</v>
      </c>
    </row>
    <row r="73" spans="2:18">
      <c r="B73" s="123" t="s">
        <v>409</v>
      </c>
      <c r="C73" s="123"/>
      <c r="D73" s="91">
        <v>0</v>
      </c>
      <c r="E73" s="91">
        <f>D73+E72</f>
        <v>0</v>
      </c>
      <c r="F73" s="91">
        <f t="shared" ref="F73:N73" si="76">E73+F72</f>
        <v>0</v>
      </c>
      <c r="G73" s="91">
        <f t="shared" si="76"/>
        <v>0</v>
      </c>
      <c r="H73" s="91">
        <f t="shared" si="76"/>
        <v>40000</v>
      </c>
      <c r="I73" s="91">
        <f t="shared" si="76"/>
        <v>80000</v>
      </c>
      <c r="J73" s="91">
        <f t="shared" si="76"/>
        <v>80000</v>
      </c>
      <c r="K73" s="91">
        <f t="shared" si="76"/>
        <v>80000</v>
      </c>
      <c r="L73" s="91">
        <f t="shared" si="76"/>
        <v>80000</v>
      </c>
      <c r="M73" s="91">
        <f t="shared" si="76"/>
        <v>80000</v>
      </c>
      <c r="N73" s="91">
        <f t="shared" si="76"/>
        <v>80000</v>
      </c>
      <c r="O73" s="91">
        <f t="shared" ref="O73" si="77">N73+O72</f>
        <v>80000</v>
      </c>
      <c r="P73" s="91">
        <f t="shared" ref="P73" si="78">O73+P72</f>
        <v>80000</v>
      </c>
      <c r="Q73" s="91">
        <f t="shared" ref="Q73" si="79">P73+Q72</f>
        <v>80000</v>
      </c>
      <c r="R73" s="91">
        <f t="shared" ref="R73" si="80">Q73+R72</f>
        <v>80000</v>
      </c>
    </row>
    <row r="74" spans="2:18">
      <c r="B74" s="123" t="s">
        <v>412</v>
      </c>
      <c r="C74" s="123"/>
      <c r="D74" s="85">
        <f>D73/SUM($D$72:$N$72)</f>
        <v>0</v>
      </c>
      <c r="E74" s="85">
        <f>E73/SUM($D$72:$N$72)</f>
        <v>0</v>
      </c>
      <c r="F74" s="85">
        <f t="shared" ref="F74:N74" si="81">F73/SUM($D$72:$N$72)</f>
        <v>0</v>
      </c>
      <c r="G74" s="85">
        <f t="shared" si="81"/>
        <v>0</v>
      </c>
      <c r="H74" s="85">
        <f t="shared" si="81"/>
        <v>0.5</v>
      </c>
      <c r="I74" s="85">
        <f t="shared" si="81"/>
        <v>1</v>
      </c>
      <c r="J74" s="85">
        <f t="shared" si="81"/>
        <v>1</v>
      </c>
      <c r="K74" s="85">
        <f t="shared" si="81"/>
        <v>1</v>
      </c>
      <c r="L74" s="85">
        <f t="shared" si="81"/>
        <v>1</v>
      </c>
      <c r="M74" s="85">
        <f t="shared" si="81"/>
        <v>1</v>
      </c>
      <c r="N74" s="85">
        <f t="shared" si="81"/>
        <v>1</v>
      </c>
      <c r="O74" s="85">
        <f t="shared" ref="O74" si="82">O73/SUM($D$72:$N$72)</f>
        <v>1</v>
      </c>
      <c r="P74" s="85">
        <f t="shared" ref="P74" si="83">P73/SUM($D$72:$N$72)</f>
        <v>1</v>
      </c>
      <c r="Q74" s="85">
        <f t="shared" ref="Q74" si="84">Q73/SUM($D$72:$N$72)</f>
        <v>1</v>
      </c>
      <c r="R74" s="85">
        <f t="shared" ref="R74" si="85">R73/SUM($D$72:$N$72)</f>
        <v>1</v>
      </c>
    </row>
    <row r="75" spans="2:18">
      <c r="B75" s="123"/>
      <c r="C75" s="123"/>
    </row>
    <row r="76" spans="2:18">
      <c r="B76" s="123" t="s">
        <v>413</v>
      </c>
      <c r="C76" s="123"/>
      <c r="D76" s="51">
        <v>1</v>
      </c>
      <c r="E76" s="85">
        <f>D76*(1+Assumptions!$V$60/Assumptions!$V$61)</f>
        <v>1.0333333333333334</v>
      </c>
      <c r="F76" s="85">
        <f>E76*(1+Assumptions!$V$60/Assumptions!$V$61)</f>
        <v>1.0677777777777779</v>
      </c>
      <c r="G76" s="85">
        <f>F76*(1+Assumptions!$V$60/Assumptions!$V$61)</f>
        <v>1.1033703703703706</v>
      </c>
      <c r="H76" s="85">
        <f>G76*(1+Assumptions!$V$60/Assumptions!$V$61)</f>
        <v>1.1401493827160496</v>
      </c>
      <c r="I76" s="85">
        <f>H76*(1+Assumptions!$V$60/Assumptions!$V$61)</f>
        <v>1.178154362139918</v>
      </c>
      <c r="J76" s="85">
        <f>I76*(1+Assumptions!$V$60/Assumptions!$V$61)</f>
        <v>1.2174261742112487</v>
      </c>
      <c r="K76" s="85">
        <f>J76*(1+Assumptions!$V$60/Assumptions!$V$61)</f>
        <v>1.2580070466849571</v>
      </c>
      <c r="L76" s="85">
        <f>K76*(1+Assumptions!$V$60/Assumptions!$V$61)</f>
        <v>1.2999406149077892</v>
      </c>
      <c r="M76" s="85">
        <f>L76*(1+Assumptions!$V$60/Assumptions!$V$61)</f>
        <v>1.343271968738049</v>
      </c>
      <c r="N76" s="85">
        <f>M76*(1+Assumptions!$V$60/Assumptions!$V$61)</f>
        <v>1.3880477010293175</v>
      </c>
      <c r="O76" s="85">
        <f>N76*(1+Assumptions!$V$60/Assumptions!$V$61)</f>
        <v>1.4343159577302949</v>
      </c>
      <c r="P76" s="85">
        <f>O76*(1+Assumptions!$V$60/Assumptions!$V$61)</f>
        <v>1.4821264896546382</v>
      </c>
      <c r="Q76" s="85">
        <f>P76*(1+Assumptions!$V$60/Assumptions!$V$61)</f>
        <v>1.5315307059764596</v>
      </c>
      <c r="R76" s="85">
        <f>Q76*(1+Assumptions!$V$60/Assumptions!$V$61)</f>
        <v>1.5825817295090083</v>
      </c>
    </row>
    <row r="77" spans="2:18">
      <c r="B77" s="123" t="s">
        <v>414</v>
      </c>
      <c r="C77" s="123"/>
      <c r="D77" s="51">
        <v>1</v>
      </c>
      <c r="E77" s="51">
        <f>D77*(1+Assumptions!$V$70)</f>
        <v>1.03</v>
      </c>
      <c r="F77" s="51">
        <f>E77*(1+Assumptions!$V$70)</f>
        <v>1.0609</v>
      </c>
      <c r="G77" s="51">
        <f>F77*(1+Assumptions!$V$70)</f>
        <v>1.092727</v>
      </c>
      <c r="H77" s="51">
        <f>G77*(1+Assumptions!$V$70)</f>
        <v>1.1255088100000001</v>
      </c>
      <c r="I77" s="51">
        <f>H77*(1+Assumptions!$V$70)</f>
        <v>1.1592740743000001</v>
      </c>
      <c r="J77" s="51">
        <f>I77*(1+Assumptions!$V$70)</f>
        <v>1.1940522965290001</v>
      </c>
      <c r="K77" s="51">
        <f>J77*(1+Assumptions!$V$70)</f>
        <v>1.2298738654248702</v>
      </c>
      <c r="L77" s="51">
        <f>K77*(1+Assumptions!$V$70)</f>
        <v>1.2667700813876164</v>
      </c>
      <c r="M77" s="51">
        <f>L77*(1+Assumptions!$V$70)</f>
        <v>1.3047731838292449</v>
      </c>
      <c r="N77" s="51">
        <f>M77*(1+Assumptions!$V$70)</f>
        <v>1.3439163793441222</v>
      </c>
      <c r="O77" s="51">
        <f>N77*(1+Assumptions!$V$70)</f>
        <v>1.3842338707244459</v>
      </c>
      <c r="P77" s="51">
        <f>O77*(1+Assumptions!$V$70)</f>
        <v>1.4257608868461793</v>
      </c>
      <c r="Q77" s="51">
        <f>P77*(1+Assumptions!$V$70)</f>
        <v>1.4685337134515648</v>
      </c>
      <c r="R77" s="51">
        <f>Q77*(1+Assumptions!$V$70)</f>
        <v>1.5125897248551119</v>
      </c>
    </row>
    <row r="78" spans="2:18">
      <c r="B78" s="123"/>
      <c r="C78" s="123"/>
    </row>
    <row r="79" spans="2:18">
      <c r="B79" s="123" t="s">
        <v>415</v>
      </c>
      <c r="C79" s="123"/>
      <c r="D79" s="148">
        <f>D76*D74*Assumptions!$H$96</f>
        <v>0</v>
      </c>
      <c r="E79" s="148">
        <f>E76*E74*Assumptions!$H$96</f>
        <v>0</v>
      </c>
      <c r="F79" s="148">
        <f>F76*F74*Assumptions!$H$96</f>
        <v>0</v>
      </c>
      <c r="G79" s="148">
        <f>G76*G74*Assumptions!$H$96</f>
        <v>0</v>
      </c>
      <c r="H79" s="148">
        <f>H76*H74*Assumptions!$H$96</f>
        <v>973940.93936899898</v>
      </c>
      <c r="I79" s="148">
        <f>I76*I74*Assumptions!$H$96</f>
        <v>2012811.2746959312</v>
      </c>
      <c r="J79" s="148">
        <f>J76*J74*Assumptions!$H$96</f>
        <v>2079904.9838524626</v>
      </c>
      <c r="K79" s="148">
        <f>K76*K74*Assumptions!$H$96</f>
        <v>2149235.149980878</v>
      </c>
      <c r="L79" s="148">
        <f>L76*L74*Assumptions!$H$96</f>
        <v>2220876.3216469078</v>
      </c>
      <c r="M79" s="148">
        <f>M76*M74*Assumptions!$H$96</f>
        <v>2294905.5323684718</v>
      </c>
      <c r="N79" s="148">
        <f>N76*N74*Assumptions!$H$96</f>
        <v>2371402.3834474212</v>
      </c>
      <c r="O79" s="148">
        <f>O76*O74*Assumptions!$H$96</f>
        <v>2450449.1295623351</v>
      </c>
      <c r="P79" s="148">
        <f>P76*P74*Assumptions!$H$96</f>
        <v>2532130.7672144133</v>
      </c>
      <c r="Q79" s="148">
        <f>Q76*Q74*Assumptions!$H$96</f>
        <v>2616535.1261215606</v>
      </c>
      <c r="R79" s="148">
        <f>R76*R74*Assumptions!$H$96</f>
        <v>2703752.9636589461</v>
      </c>
    </row>
    <row r="80" spans="2:18">
      <c r="B80" s="123" t="s">
        <v>416</v>
      </c>
      <c r="C80" s="123"/>
      <c r="D80" s="148">
        <f>-D79*Assumptions!$W$52</f>
        <v>0</v>
      </c>
      <c r="E80" s="148">
        <f>-E79*Assumptions!$W$52</f>
        <v>0</v>
      </c>
      <c r="F80" s="148">
        <f>-F79*Assumptions!$W$52</f>
        <v>0</v>
      </c>
      <c r="G80" s="148">
        <f>-G79*Assumptions!$W$52</f>
        <v>0</v>
      </c>
      <c r="H80" s="148">
        <f>-H79*Assumptions!$W$52</f>
        <v>-75967.393270781919</v>
      </c>
      <c r="I80" s="148">
        <f>-I79*Assumptions!$W$52</f>
        <v>-156999.27942628265</v>
      </c>
      <c r="J80" s="148">
        <f>-J79*Assumptions!$W$52</f>
        <v>-162232.58874049209</v>
      </c>
      <c r="K80" s="148">
        <f>-K79*Assumptions!$W$52</f>
        <v>-167640.34169850848</v>
      </c>
      <c r="L80" s="148">
        <f>-L79*Assumptions!$W$52</f>
        <v>-173228.3530884588</v>
      </c>
      <c r="M80" s="148">
        <f>-M79*Assumptions!$W$52</f>
        <v>-179002.63152474081</v>
      </c>
      <c r="N80" s="148">
        <f>-N79*Assumptions!$W$52</f>
        <v>-184969.38590889887</v>
      </c>
      <c r="O80" s="148">
        <f>-O79*Assumptions!$W$52</f>
        <v>-191135.03210586213</v>
      </c>
      <c r="P80" s="148">
        <f>-P79*Assumptions!$W$52</f>
        <v>-197506.19984272422</v>
      </c>
      <c r="Q80" s="148">
        <f>-Q79*Assumptions!$W$52</f>
        <v>-204089.73983748173</v>
      </c>
      <c r="R80" s="148">
        <f>-R79*Assumptions!$W$52</f>
        <v>-210892.7311653978</v>
      </c>
    </row>
    <row r="81" spans="2:18">
      <c r="B81" s="128" t="s">
        <v>417</v>
      </c>
      <c r="C81" s="128"/>
      <c r="D81" s="148">
        <f>D80+D79</f>
        <v>0</v>
      </c>
      <c r="E81" s="148">
        <f>E80+E79</f>
        <v>0</v>
      </c>
      <c r="F81" s="148">
        <f t="shared" ref="F81:N81" si="86">F80+F79</f>
        <v>0</v>
      </c>
      <c r="G81" s="148">
        <f t="shared" si="86"/>
        <v>0</v>
      </c>
      <c r="H81" s="148">
        <f t="shared" si="86"/>
        <v>897973.54609821702</v>
      </c>
      <c r="I81" s="148">
        <f t="shared" si="86"/>
        <v>1855811.9952696485</v>
      </c>
      <c r="J81" s="148">
        <f t="shared" si="86"/>
        <v>1917672.3951119706</v>
      </c>
      <c r="K81" s="148">
        <f t="shared" si="86"/>
        <v>1981594.8082823695</v>
      </c>
      <c r="L81" s="148">
        <f t="shared" si="86"/>
        <v>2047647.9685584491</v>
      </c>
      <c r="M81" s="148">
        <f t="shared" si="86"/>
        <v>2115902.9008437311</v>
      </c>
      <c r="N81" s="148">
        <f t="shared" si="86"/>
        <v>2186432.9975385224</v>
      </c>
      <c r="O81" s="148">
        <f t="shared" ref="O81" si="87">O80+O79</f>
        <v>2259314.0974564729</v>
      </c>
      <c r="P81" s="148">
        <f t="shared" ref="P81" si="88">P80+P79</f>
        <v>2334624.5673716892</v>
      </c>
      <c r="Q81" s="148">
        <f t="shared" ref="Q81" si="89">Q80+Q79</f>
        <v>2412445.3862840789</v>
      </c>
      <c r="R81" s="148">
        <f t="shared" ref="R81" si="90">R80+R79</f>
        <v>2492860.2324935482</v>
      </c>
    </row>
    <row r="82" spans="2:18">
      <c r="B82" s="128"/>
      <c r="C82" s="12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</row>
    <row r="83" spans="2:18">
      <c r="B83" s="128" t="s">
        <v>418</v>
      </c>
      <c r="C83" s="128"/>
      <c r="D83" s="148">
        <f>D81*(1-D85)</f>
        <v>0</v>
      </c>
      <c r="E83" s="148">
        <f t="shared" ref="E83:N83" si="91">E81*(1-E85)</f>
        <v>0</v>
      </c>
      <c r="F83" s="148">
        <f t="shared" si="91"/>
        <v>0</v>
      </c>
      <c r="G83" s="148">
        <f t="shared" si="91"/>
        <v>0</v>
      </c>
      <c r="H83" s="148">
        <f t="shared" si="91"/>
        <v>224493.38652455425</v>
      </c>
      <c r="I83" s="148">
        <f t="shared" si="91"/>
        <v>463952.99881741212</v>
      </c>
      <c r="J83" s="148">
        <f t="shared" si="91"/>
        <v>479418.09877799265</v>
      </c>
      <c r="K83" s="148">
        <f t="shared" si="91"/>
        <v>495398.70207059238</v>
      </c>
      <c r="L83" s="148">
        <f t="shared" si="91"/>
        <v>511911.99213961227</v>
      </c>
      <c r="M83" s="148">
        <f t="shared" si="91"/>
        <v>528975.72521093278</v>
      </c>
      <c r="N83" s="148">
        <f t="shared" si="91"/>
        <v>546608.24938463059</v>
      </c>
      <c r="O83" s="148">
        <f t="shared" ref="O83:R83" si="92">O81*(1-O85)</f>
        <v>564828.52436411823</v>
      </c>
      <c r="P83" s="148">
        <f t="shared" si="92"/>
        <v>583656.14184292231</v>
      </c>
      <c r="Q83" s="148">
        <f t="shared" si="92"/>
        <v>603111.34657101973</v>
      </c>
      <c r="R83" s="148">
        <f t="shared" si="92"/>
        <v>623215.05812338705</v>
      </c>
    </row>
    <row r="84" spans="2:18"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</row>
    <row r="85" spans="2:18">
      <c r="B85" s="128" t="s">
        <v>419</v>
      </c>
      <c r="C85" s="128"/>
      <c r="D85" s="51">
        <f>Assumptions!$W$82</f>
        <v>0.75</v>
      </c>
      <c r="E85" s="51">
        <f>Assumptions!$W$82</f>
        <v>0.75</v>
      </c>
      <c r="F85" s="51">
        <f>Assumptions!$W$82</f>
        <v>0.75</v>
      </c>
      <c r="G85" s="51">
        <f>Assumptions!$W$82</f>
        <v>0.75</v>
      </c>
      <c r="H85" s="51">
        <f>Assumptions!$W$82</f>
        <v>0.75</v>
      </c>
      <c r="I85" s="51">
        <f>Assumptions!$W$82</f>
        <v>0.75</v>
      </c>
      <c r="J85" s="51">
        <f>Assumptions!$W$82</f>
        <v>0.75</v>
      </c>
      <c r="K85" s="51">
        <f>Assumptions!$W$82</f>
        <v>0.75</v>
      </c>
      <c r="L85" s="51">
        <f>Assumptions!$W$82</f>
        <v>0.75</v>
      </c>
      <c r="M85" s="51">
        <f>Assumptions!$W$82</f>
        <v>0.75</v>
      </c>
      <c r="N85" s="51">
        <f>Assumptions!$W$82</f>
        <v>0.75</v>
      </c>
      <c r="O85" s="51">
        <f>Assumptions!$W$82</f>
        <v>0.75</v>
      </c>
      <c r="P85" s="51">
        <f>Assumptions!$W$82</f>
        <v>0.75</v>
      </c>
      <c r="Q85" s="51">
        <f>Assumptions!$W$82</f>
        <v>0.75</v>
      </c>
      <c r="R85" s="51">
        <f>Assumptions!$W$82</f>
        <v>0.75</v>
      </c>
    </row>
    <row r="86" spans="2:18" ht="17.100000000000001" thickBot="1">
      <c r="B86" s="123"/>
      <c r="C86" s="1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</row>
    <row r="87" spans="2:18" ht="17.100000000000001" thickBot="1">
      <c r="B87" s="287" t="s">
        <v>420</v>
      </c>
      <c r="C87" s="288"/>
      <c r="D87" s="289">
        <f>D85*D81</f>
        <v>0</v>
      </c>
      <c r="E87" s="289">
        <f>E85*E81</f>
        <v>0</v>
      </c>
      <c r="F87" s="289">
        <f t="shared" ref="F87:N87" si="93">F85*F81</f>
        <v>0</v>
      </c>
      <c r="G87" s="289">
        <f t="shared" si="93"/>
        <v>0</v>
      </c>
      <c r="H87" s="289">
        <f t="shared" si="93"/>
        <v>673480.15957366279</v>
      </c>
      <c r="I87" s="289">
        <f t="shared" si="93"/>
        <v>1391858.9964522363</v>
      </c>
      <c r="J87" s="289">
        <f t="shared" si="93"/>
        <v>1438254.296333978</v>
      </c>
      <c r="K87" s="289">
        <f t="shared" si="93"/>
        <v>1486196.1062117771</v>
      </c>
      <c r="L87" s="289">
        <f t="shared" si="93"/>
        <v>1535735.9764188367</v>
      </c>
      <c r="M87" s="289">
        <f t="shared" si="93"/>
        <v>1586927.1756327983</v>
      </c>
      <c r="N87" s="289">
        <f t="shared" si="93"/>
        <v>1639824.7481538919</v>
      </c>
      <c r="O87" s="289">
        <f t="shared" ref="O87:R87" si="94">O85*O81</f>
        <v>1694485.5730923547</v>
      </c>
      <c r="P87" s="289">
        <f t="shared" si="94"/>
        <v>1750968.4255287671</v>
      </c>
      <c r="Q87" s="289">
        <f t="shared" si="94"/>
        <v>1809334.0397130591</v>
      </c>
      <c r="R87" s="290">
        <f t="shared" si="94"/>
        <v>1869645.1743701613</v>
      </c>
    </row>
    <row r="88" spans="2:18">
      <c r="B88" s="127" t="s">
        <v>421</v>
      </c>
      <c r="C88" s="127"/>
      <c r="D88" s="147">
        <f>D87/Assumptions!$W$92</f>
        <v>0</v>
      </c>
      <c r="E88" s="147">
        <f>E87/Assumptions!$W$92</f>
        <v>0</v>
      </c>
      <c r="F88" s="147">
        <f>F87/Assumptions!$W$92</f>
        <v>0</v>
      </c>
      <c r="G88" s="147">
        <f>G87/Assumptions!$W$92</f>
        <v>0</v>
      </c>
      <c r="H88" s="147">
        <f>H87/Assumptions!$W$92</f>
        <v>9621145.1367666107</v>
      </c>
      <c r="I88" s="147">
        <f>I87/Assumptions!$W$92</f>
        <v>19883699.94931766</v>
      </c>
      <c r="J88" s="147">
        <f>J87/Assumptions!$W$92</f>
        <v>20546489.947628256</v>
      </c>
      <c r="K88" s="147">
        <f>K87/Assumptions!$W$92</f>
        <v>21231372.945882529</v>
      </c>
      <c r="L88" s="147">
        <f>L87/Assumptions!$W$92</f>
        <v>21939085.37741195</v>
      </c>
      <c r="M88" s="147">
        <f>M87/Assumptions!$W$92</f>
        <v>22670388.223325688</v>
      </c>
      <c r="N88" s="147">
        <f>N87/Assumptions!$W$92</f>
        <v>23426067.830769882</v>
      </c>
      <c r="O88" s="147">
        <f>O87/Assumptions!$W$92</f>
        <v>24206936.758462209</v>
      </c>
      <c r="P88" s="147">
        <f>P87/Assumptions!$W$92</f>
        <v>25013834.650410954</v>
      </c>
      <c r="Q88" s="147">
        <f>Q87/Assumptions!$W$92</f>
        <v>25847629.138757985</v>
      </c>
      <c r="R88" s="147">
        <f>R87/Assumptions!$W$92</f>
        <v>26709216.776716586</v>
      </c>
    </row>
    <row r="89" spans="2:18">
      <c r="B89" s="127"/>
      <c r="C89" s="12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</row>
    <row r="90" spans="2:18">
      <c r="B90" s="278"/>
      <c r="C90" s="278"/>
      <c r="D90" s="279">
        <f>D69</f>
        <v>2024</v>
      </c>
      <c r="E90" s="279">
        <f t="shared" ref="E90:R91" si="95">E69</f>
        <v>2025</v>
      </c>
      <c r="F90" s="279">
        <f t="shared" si="95"/>
        <v>2026</v>
      </c>
      <c r="G90" s="279">
        <f t="shared" si="95"/>
        <v>2027</v>
      </c>
      <c r="H90" s="279">
        <f t="shared" si="95"/>
        <v>2028</v>
      </c>
      <c r="I90" s="279">
        <f t="shared" si="95"/>
        <v>2029</v>
      </c>
      <c r="J90" s="279">
        <f t="shared" si="95"/>
        <v>2030</v>
      </c>
      <c r="K90" s="279">
        <f t="shared" si="95"/>
        <v>2031</v>
      </c>
      <c r="L90" s="279">
        <f t="shared" si="95"/>
        <v>2032</v>
      </c>
      <c r="M90" s="279">
        <f t="shared" si="95"/>
        <v>2033</v>
      </c>
      <c r="N90" s="279">
        <f t="shared" si="95"/>
        <v>2034</v>
      </c>
      <c r="O90" s="279">
        <f t="shared" si="95"/>
        <v>2035</v>
      </c>
      <c r="P90" s="279">
        <f t="shared" si="95"/>
        <v>2036</v>
      </c>
      <c r="Q90" s="279">
        <f t="shared" si="95"/>
        <v>2037</v>
      </c>
      <c r="R90" s="279">
        <f t="shared" si="95"/>
        <v>2038</v>
      </c>
    </row>
    <row r="91" spans="2:18" ht="18">
      <c r="B91" s="302" t="s">
        <v>10</v>
      </c>
      <c r="C91" s="302"/>
      <c r="D91" s="281">
        <f>D70</f>
        <v>45657</v>
      </c>
      <c r="E91" s="281">
        <f t="shared" si="95"/>
        <v>46022</v>
      </c>
      <c r="F91" s="281">
        <f t="shared" si="95"/>
        <v>46387</v>
      </c>
      <c r="G91" s="281">
        <f t="shared" si="95"/>
        <v>46752</v>
      </c>
      <c r="H91" s="281">
        <f t="shared" si="95"/>
        <v>47118</v>
      </c>
      <c r="I91" s="281">
        <f t="shared" si="95"/>
        <v>47483</v>
      </c>
      <c r="J91" s="281">
        <f t="shared" si="95"/>
        <v>47848</v>
      </c>
      <c r="K91" s="281">
        <f t="shared" si="95"/>
        <v>48213</v>
      </c>
      <c r="L91" s="281">
        <f t="shared" si="95"/>
        <v>48579</v>
      </c>
      <c r="M91" s="281">
        <f t="shared" si="95"/>
        <v>48944</v>
      </c>
      <c r="N91" s="281">
        <f t="shared" si="95"/>
        <v>49309</v>
      </c>
      <c r="O91" s="281">
        <f t="shared" si="95"/>
        <v>49674</v>
      </c>
      <c r="P91" s="281">
        <f t="shared" si="95"/>
        <v>50040</v>
      </c>
      <c r="Q91" s="281">
        <f t="shared" si="95"/>
        <v>50405</v>
      </c>
      <c r="R91" s="281">
        <f t="shared" si="95"/>
        <v>50770</v>
      </c>
    </row>
    <row r="92" spans="2:18">
      <c r="B92" s="134"/>
      <c r="C92" s="125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</row>
    <row r="93" spans="2:18">
      <c r="B93" s="123" t="s">
        <v>408</v>
      </c>
      <c r="C93" s="125"/>
      <c r="D93" s="91">
        <v>0</v>
      </c>
      <c r="E93" s="91">
        <f>+IF(AND(E70&gt;=Assumptions!$N$106,E70&lt;Assumptions!$N$108),Assumptions!$H$115/ROUNDUP((Assumptions!$N$107/12),0),0)</f>
        <v>0</v>
      </c>
      <c r="F93" s="91">
        <f>+IF(AND(F70&gt;=Assumptions!$N$106,F70&lt;Assumptions!$N$108),Assumptions!$H$115/ROUNDUP((Assumptions!$N$107/12),0),0)</f>
        <v>0</v>
      </c>
      <c r="G93" s="91">
        <f>+IF(AND(G70&gt;=Assumptions!$N$106,G70&lt;Assumptions!$N$108),Assumptions!$H$115/ROUNDUP((Assumptions!$N$107/12),0),0)</f>
        <v>0</v>
      </c>
      <c r="H93" s="91">
        <f>+IF(AND(H70&gt;=Assumptions!$N$106,H70&lt;Assumptions!$N$108),Assumptions!$H$115/ROUNDUP((Assumptions!$N$107/12),0),0)</f>
        <v>300000</v>
      </c>
      <c r="I93" s="91">
        <f>+IF(AND(I70&gt;=Assumptions!$N$106,I70&lt;Assumptions!$N$108),Assumptions!$H$115/ROUNDUP((Assumptions!$N$107/12),0),0)</f>
        <v>0</v>
      </c>
      <c r="J93" s="91">
        <f>+IF(AND(J70&gt;=Assumptions!$N$106,J70&lt;Assumptions!$N$108),Assumptions!$H$115/ROUNDUP((Assumptions!$N$107/12),0),0)</f>
        <v>0</v>
      </c>
      <c r="K93" s="91">
        <f>+IF(AND(K70&gt;=Assumptions!$N$106,K70&lt;Assumptions!$N$108),Assumptions!$H$115/ROUNDUP((Assumptions!$N$107/12),0),0)</f>
        <v>0</v>
      </c>
      <c r="L93" s="91">
        <f>+IF(AND(L70&gt;=Assumptions!$N$106,L70&lt;Assumptions!$N$108),Assumptions!$H$115/ROUNDUP((Assumptions!$N$107/12),0),0)</f>
        <v>0</v>
      </c>
      <c r="M93" s="91">
        <f>+IF(AND(M70&gt;=Assumptions!$N$106,M70&lt;Assumptions!$N$108),Assumptions!$H$115/ROUNDUP((Assumptions!$N$107/12),0),0)</f>
        <v>0</v>
      </c>
      <c r="N93" s="91">
        <f>+IF(AND(N70&gt;=Assumptions!$N$106,N70&lt;Assumptions!$N$108),Assumptions!$H$115/ROUNDUP((Assumptions!$N$107/12),0),0)</f>
        <v>0</v>
      </c>
      <c r="O93" s="91">
        <f>+IF(AND(O70&gt;=Assumptions!$N$106,O70&lt;Assumptions!$N$108),Assumptions!$H$115/ROUNDUP((Assumptions!$N$107/12),0),0)</f>
        <v>0</v>
      </c>
      <c r="P93" s="91">
        <f>+IF(AND(P70&gt;=Assumptions!$N$106,P70&lt;Assumptions!$N$108),Assumptions!$H$115/ROUNDUP((Assumptions!$N$107/12),0),0)</f>
        <v>0</v>
      </c>
      <c r="Q93" s="91">
        <f>+IF(AND(Q70&gt;=Assumptions!$N$106,Q70&lt;Assumptions!$N$108),Assumptions!$H$115/ROUNDUP((Assumptions!$N$107/12),0),0)</f>
        <v>0</v>
      </c>
      <c r="R93" s="91">
        <f>+IF(AND(R70&gt;=Assumptions!$N$106,R70&lt;Assumptions!$N$108),Assumptions!$H$115/ROUNDUP((Assumptions!$N$107/12),0),0)</f>
        <v>0</v>
      </c>
    </row>
    <row r="94" spans="2:18">
      <c r="B94" s="123" t="s">
        <v>409</v>
      </c>
      <c r="C94" s="125"/>
      <c r="D94" s="91">
        <f>+IF(AND(D70&gt;=Assumptions!$M$96,D70&lt;Assumptions!$M$98),Assumptions!$G$97/ROUNDUP((Assumptions!$M$97/12),0),0)</f>
        <v>0</v>
      </c>
      <c r="E94" s="91">
        <f>E93+D94</f>
        <v>0</v>
      </c>
      <c r="F94" s="91">
        <f t="shared" ref="F94:R94" si="96">F93+E94</f>
        <v>0</v>
      </c>
      <c r="G94" s="91">
        <f t="shared" si="96"/>
        <v>0</v>
      </c>
      <c r="H94" s="91">
        <f t="shared" si="96"/>
        <v>300000</v>
      </c>
      <c r="I94" s="91">
        <f t="shared" si="96"/>
        <v>300000</v>
      </c>
      <c r="J94" s="91">
        <f t="shared" si="96"/>
        <v>300000</v>
      </c>
      <c r="K94" s="91">
        <f t="shared" si="96"/>
        <v>300000</v>
      </c>
      <c r="L94" s="91">
        <f t="shared" si="96"/>
        <v>300000</v>
      </c>
      <c r="M94" s="91">
        <f t="shared" si="96"/>
        <v>300000</v>
      </c>
      <c r="N94" s="91">
        <f t="shared" si="96"/>
        <v>300000</v>
      </c>
      <c r="O94" s="91">
        <f t="shared" si="96"/>
        <v>300000</v>
      </c>
      <c r="P94" s="91">
        <f t="shared" si="96"/>
        <v>300000</v>
      </c>
      <c r="Q94" s="91">
        <f t="shared" si="96"/>
        <v>300000</v>
      </c>
      <c r="R94" s="91">
        <f t="shared" si="96"/>
        <v>300000</v>
      </c>
    </row>
    <row r="95" spans="2:18">
      <c r="B95" s="123" t="s">
        <v>410</v>
      </c>
      <c r="C95" s="125"/>
      <c r="D95" s="91">
        <f>+IF(AND(D70&gt;=Assumptions!$N$106,D70&lt;Assumptions!$N$108),Assumptions!$H$116/ROUNDUP((Assumptions!$N$107/12),0),0)</f>
        <v>0</v>
      </c>
      <c r="E95" s="91">
        <f>+IF(AND(E70&gt;=Assumptions!$N$106,E70&lt;Assumptions!$N$108),Assumptions!$H$116/ROUNDUP((Assumptions!$N$107/12),0),0)</f>
        <v>0</v>
      </c>
      <c r="F95" s="91">
        <f>+IF(AND(F70&gt;=Assumptions!$N$106,F70&lt;Assumptions!$N$108),Assumptions!$H$116/ROUNDUP((Assumptions!$N$107/12),0),0)</f>
        <v>0</v>
      </c>
      <c r="G95" s="91">
        <f>+IF(AND(G70&gt;=Assumptions!$N$106,G70&lt;Assumptions!$N$108),Assumptions!$H$116/ROUNDUP((Assumptions!$N$107/12),0),0)</f>
        <v>0</v>
      </c>
      <c r="H95" s="91">
        <f>+IF(AND(H70&gt;=Assumptions!$N$106,H70&lt;Assumptions!$N$108),Assumptions!$H$116/ROUNDUP((Assumptions!$N$107/12),0),0)</f>
        <v>750</v>
      </c>
      <c r="I95" s="91">
        <f>+IF(AND(I70&gt;=Assumptions!$N$106,I70&lt;Assumptions!$N$108),Assumptions!$H$116/ROUNDUP((Assumptions!$N$107/12),0),0)</f>
        <v>0</v>
      </c>
      <c r="J95" s="91">
        <f>+IF(AND(J70&gt;=Assumptions!$N$106,J70&lt;Assumptions!$N$108),Assumptions!$H$116/ROUNDUP((Assumptions!$N$107/12),0),0)</f>
        <v>0</v>
      </c>
      <c r="K95" s="91">
        <f>+IF(AND(K70&gt;=Assumptions!$N$106,K70&lt;Assumptions!$N$108),Assumptions!$H$116/ROUNDUP((Assumptions!$N$107/12),0),0)</f>
        <v>0</v>
      </c>
      <c r="L95" s="91">
        <f>+IF(AND(L70&gt;=Assumptions!$N$106,L70&lt;Assumptions!$N$108),Assumptions!$H$116/ROUNDUP((Assumptions!$N$107/12),0),0)</f>
        <v>0</v>
      </c>
      <c r="M95" s="91">
        <f>+IF(AND(M70&gt;=Assumptions!$N$106,M70&lt;Assumptions!$N$108),Assumptions!$H$116/ROUNDUP((Assumptions!$N$107/12),0),0)</f>
        <v>0</v>
      </c>
      <c r="N95" s="91">
        <f>+IF(AND(N70&gt;=Assumptions!$N$106,N70&lt;Assumptions!$N$108),Assumptions!$H$116/ROUNDUP((Assumptions!$N$107/12),0),0)</f>
        <v>0</v>
      </c>
      <c r="O95" s="91">
        <f>+IF(AND(O70&gt;=Assumptions!$N$106,O70&lt;Assumptions!$N$108),Assumptions!$H$116/ROUNDUP((Assumptions!$N$107/12),0),0)</f>
        <v>0</v>
      </c>
      <c r="P95" s="91">
        <f>+IF(AND(P70&gt;=Assumptions!$N$106,P70&lt;Assumptions!$N$108),Assumptions!$H$116/ROUNDUP((Assumptions!$N$107/12),0),0)</f>
        <v>0</v>
      </c>
      <c r="Q95" s="91">
        <f>+IF(AND(Q70&gt;=Assumptions!$N$106,Q70&lt;Assumptions!$N$108),Assumptions!$H$116/ROUNDUP((Assumptions!$N$107/12),0),0)</f>
        <v>0</v>
      </c>
      <c r="R95" s="91">
        <f>+IF(AND(R70&gt;=Assumptions!$N$106,R70&lt;Assumptions!$N$108),Assumptions!$H$116/ROUNDUP((Assumptions!$N$107/12),0),0)</f>
        <v>0</v>
      </c>
    </row>
    <row r="96" spans="2:18">
      <c r="B96" s="123" t="s">
        <v>411</v>
      </c>
      <c r="C96" s="125"/>
      <c r="D96" s="91">
        <v>0</v>
      </c>
      <c r="E96" s="91">
        <f>E95+D96</f>
        <v>0</v>
      </c>
      <c r="F96" s="91">
        <f t="shared" ref="F96:R96" si="97">F95+E96</f>
        <v>0</v>
      </c>
      <c r="G96" s="91">
        <f t="shared" si="97"/>
        <v>0</v>
      </c>
      <c r="H96" s="91">
        <f t="shared" si="97"/>
        <v>750</v>
      </c>
      <c r="I96" s="91">
        <f t="shared" si="97"/>
        <v>750</v>
      </c>
      <c r="J96" s="91">
        <f t="shared" si="97"/>
        <v>750</v>
      </c>
      <c r="K96" s="91">
        <f t="shared" si="97"/>
        <v>750</v>
      </c>
      <c r="L96" s="91">
        <f t="shared" si="97"/>
        <v>750</v>
      </c>
      <c r="M96" s="91">
        <f t="shared" si="97"/>
        <v>750</v>
      </c>
      <c r="N96" s="91">
        <f t="shared" si="97"/>
        <v>750</v>
      </c>
      <c r="O96" s="91">
        <f t="shared" si="97"/>
        <v>750</v>
      </c>
      <c r="P96" s="91">
        <f t="shared" si="97"/>
        <v>750</v>
      </c>
      <c r="Q96" s="91">
        <f t="shared" si="97"/>
        <v>750</v>
      </c>
      <c r="R96" s="91">
        <f t="shared" si="97"/>
        <v>750</v>
      </c>
    </row>
    <row r="97" spans="2:18">
      <c r="B97" s="123" t="s">
        <v>412</v>
      </c>
      <c r="C97" s="125"/>
      <c r="D97" s="94">
        <f>D96/SUM($D$95:$R$95)</f>
        <v>0</v>
      </c>
      <c r="E97" s="94">
        <f t="shared" ref="E97:R97" si="98">E96/SUM($D$95:$R$95)</f>
        <v>0</v>
      </c>
      <c r="F97" s="94">
        <f t="shared" si="98"/>
        <v>0</v>
      </c>
      <c r="G97" s="94">
        <f t="shared" si="98"/>
        <v>0</v>
      </c>
      <c r="H97" s="94">
        <f t="shared" si="98"/>
        <v>1</v>
      </c>
      <c r="I97" s="94">
        <f t="shared" si="98"/>
        <v>1</v>
      </c>
      <c r="J97" s="94">
        <f t="shared" si="98"/>
        <v>1</v>
      </c>
      <c r="K97" s="94">
        <f t="shared" si="98"/>
        <v>1</v>
      </c>
      <c r="L97" s="94">
        <f t="shared" si="98"/>
        <v>1</v>
      </c>
      <c r="M97" s="94">
        <f t="shared" si="98"/>
        <v>1</v>
      </c>
      <c r="N97" s="94">
        <f t="shared" si="98"/>
        <v>1</v>
      </c>
      <c r="O97" s="94">
        <f t="shared" si="98"/>
        <v>1</v>
      </c>
      <c r="P97" s="94">
        <f t="shared" si="98"/>
        <v>1</v>
      </c>
      <c r="Q97" s="94">
        <f t="shared" si="98"/>
        <v>1</v>
      </c>
      <c r="R97" s="94">
        <f t="shared" si="98"/>
        <v>1</v>
      </c>
    </row>
    <row r="98" spans="2:18">
      <c r="B98" s="123"/>
      <c r="C98" s="125"/>
      <c r="D98" s="91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</row>
    <row r="99" spans="2:18">
      <c r="B99" s="123" t="s">
        <v>413</v>
      </c>
      <c r="C99" s="125"/>
      <c r="D99" s="94">
        <v>1</v>
      </c>
      <c r="E99" s="94">
        <f>D76*(1+Assumptions!$W$65)</f>
        <v>1.03</v>
      </c>
      <c r="F99" s="94">
        <f>E76*(1+Assumptions!$W$65)</f>
        <v>1.0643333333333336</v>
      </c>
      <c r="G99" s="94">
        <f>F76*(1+Assumptions!$W$65)</f>
        <v>1.0998111111111113</v>
      </c>
      <c r="H99" s="94">
        <f>G76*(1+Assumptions!$W$65)</f>
        <v>1.1364714814814818</v>
      </c>
      <c r="I99" s="94">
        <f>H76*(1+Assumptions!$W$65)</f>
        <v>1.1743538641975311</v>
      </c>
      <c r="J99" s="94">
        <f>I76*(1+Assumptions!$W$65)</f>
        <v>1.2134989930041156</v>
      </c>
      <c r="K99" s="94">
        <f>J76*(1+Assumptions!$W$65)</f>
        <v>1.2539489594375861</v>
      </c>
      <c r="L99" s="94">
        <f>K76*(1+Assumptions!$W$65)</f>
        <v>1.2957472580855058</v>
      </c>
      <c r="M99" s="94">
        <f>L76*(1+Assumptions!$W$65)</f>
        <v>1.338938833355023</v>
      </c>
      <c r="N99" s="94">
        <f>M76*(1+Assumptions!$W$65)</f>
        <v>1.3835701278001904</v>
      </c>
      <c r="O99" s="94">
        <f>N76*(1+Assumptions!$W$65)</f>
        <v>1.429689132060197</v>
      </c>
      <c r="P99" s="94">
        <f>O76*(1+Assumptions!$W$65)</f>
        <v>1.4773454364622038</v>
      </c>
      <c r="Q99" s="94">
        <f>P76*(1+Assumptions!$W$65)</f>
        <v>1.5265902843442773</v>
      </c>
      <c r="R99" s="94">
        <f>Q76*(1+Assumptions!$W$65)</f>
        <v>1.5774766271557534</v>
      </c>
    </row>
    <row r="100" spans="2:18">
      <c r="B100" s="123" t="s">
        <v>414</v>
      </c>
      <c r="C100" s="125"/>
      <c r="D100" s="94">
        <v>1</v>
      </c>
      <c r="E100" s="94">
        <f>D100*(1+Assumptions!$W$73)</f>
        <v>1.03</v>
      </c>
      <c r="F100" s="94">
        <f>E100*(1+Assumptions!$W$73)</f>
        <v>1.0609</v>
      </c>
      <c r="G100" s="94">
        <f>F100*(1+Assumptions!$W$73)</f>
        <v>1.092727</v>
      </c>
      <c r="H100" s="94">
        <f>G100*(1+Assumptions!$W$73)</f>
        <v>1.1255088100000001</v>
      </c>
      <c r="I100" s="94">
        <f>H100*(1+Assumptions!$W$73)</f>
        <v>1.1592740743000001</v>
      </c>
      <c r="J100" s="94">
        <f>I100*(1+Assumptions!$W$73)</f>
        <v>1.1940522965290001</v>
      </c>
      <c r="K100" s="94">
        <f>J100*(1+Assumptions!$W$73)</f>
        <v>1.2298738654248702</v>
      </c>
      <c r="L100" s="94">
        <f>K100*(1+Assumptions!$W$73)</f>
        <v>1.2667700813876164</v>
      </c>
      <c r="M100" s="94">
        <f>L100*(1+Assumptions!$W$73)</f>
        <v>1.3047731838292449</v>
      </c>
      <c r="N100" s="94">
        <f>M100*(1+Assumptions!$W$73)</f>
        <v>1.3439163793441222</v>
      </c>
      <c r="O100" s="94">
        <f>N100*(1+Assumptions!$W$73)</f>
        <v>1.3842338707244459</v>
      </c>
      <c r="P100" s="94">
        <f>O100*(1+Assumptions!$W$73)</f>
        <v>1.4257608868461793</v>
      </c>
      <c r="Q100" s="94">
        <f>P100*(1+Assumptions!$W$73)</f>
        <v>1.4685337134515648</v>
      </c>
      <c r="R100" s="94">
        <f>Q100*(1+Assumptions!$W$73)</f>
        <v>1.5125897248551119</v>
      </c>
    </row>
    <row r="101" spans="2:18">
      <c r="B101" s="123"/>
      <c r="C101" s="125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</row>
    <row r="102" spans="2:18">
      <c r="B102" s="123" t="s">
        <v>415</v>
      </c>
      <c r="C102" s="125"/>
      <c r="D102" s="147">
        <f ca="1">D99*D97*Assumptions!$H$114</f>
        <v>0</v>
      </c>
      <c r="E102" s="147">
        <f ca="1">E99*E97*Assumptions!$H$114</f>
        <v>0</v>
      </c>
      <c r="F102" s="147">
        <f ca="1">F99*F97*Assumptions!$H$114</f>
        <v>0</v>
      </c>
      <c r="G102" s="147">
        <f ca="1">G99*G97*Assumptions!$H$114</f>
        <v>0</v>
      </c>
      <c r="H102" s="147">
        <f ca="1">H99*H97*Assumptions!$H$114</f>
        <v>915979.30812180776</v>
      </c>
      <c r="I102" s="147">
        <f ca="1">I99*I97*Assumptions!$H$114</f>
        <v>946511.95172586793</v>
      </c>
      <c r="J102" s="147">
        <f ca="1">J99*J97*Assumptions!$H$114</f>
        <v>978062.3501167302</v>
      </c>
      <c r="K102" s="147">
        <f ca="1">K99*K97*Assumptions!$H$114</f>
        <v>1010664.4284539546</v>
      </c>
      <c r="L102" s="147">
        <f ca="1">L99*L97*Assumptions!$H$114</f>
        <v>1044353.2427357533</v>
      </c>
      <c r="M102" s="147">
        <f ca="1">M99*M97*Assumptions!$H$114</f>
        <v>1079165.0174936119</v>
      </c>
      <c r="N102" s="147">
        <f ca="1">N99*N97*Assumptions!$H$114</f>
        <v>1115137.184743399</v>
      </c>
      <c r="O102" s="147">
        <f ca="1">O99*O97*Assumptions!$H$114</f>
        <v>1152308.4242348459</v>
      </c>
      <c r="P102" s="147">
        <f ca="1">P99*P97*Assumptions!$H$114</f>
        <v>1190718.7050426742</v>
      </c>
      <c r="Q102" s="147">
        <f ca="1">Q99*Q97*Assumptions!$H$114</f>
        <v>1230409.3285440968</v>
      </c>
      <c r="R102" s="147">
        <f ca="1">R99*R97*Assumptions!$H$114</f>
        <v>1271422.9728289002</v>
      </c>
    </row>
    <row r="103" spans="2:18">
      <c r="B103" s="123" t="s">
        <v>416</v>
      </c>
      <c r="C103" s="125"/>
      <c r="D103" s="147">
        <f ca="1">-D102*Assumptions!$W$55</f>
        <v>0</v>
      </c>
      <c r="E103" s="147">
        <f ca="1">-E102*Assumptions!$W$55</f>
        <v>0</v>
      </c>
      <c r="F103" s="147">
        <f ca="1">-F102*Assumptions!$W$55</f>
        <v>0</v>
      </c>
      <c r="G103" s="147">
        <f ca="1">-G102*Assumptions!$W$55</f>
        <v>0</v>
      </c>
      <c r="H103" s="147">
        <f ca="1">-H102*Assumptions!$W$55</f>
        <v>-45798.965406090392</v>
      </c>
      <c r="I103" s="147">
        <f ca="1">-I102*Assumptions!$W$55</f>
        <v>-47325.597586293399</v>
      </c>
      <c r="J103" s="147">
        <f ca="1">-J102*Assumptions!$W$55</f>
        <v>-48903.117505836512</v>
      </c>
      <c r="K103" s="147">
        <f ca="1">-K102*Assumptions!$W$55</f>
        <v>-50533.221422697738</v>
      </c>
      <c r="L103" s="147">
        <f ca="1">-L102*Assumptions!$W$55</f>
        <v>-52217.662136787665</v>
      </c>
      <c r="M103" s="147">
        <f ca="1">-M102*Assumptions!$W$55</f>
        <v>-53958.250874680598</v>
      </c>
      <c r="N103" s="147">
        <f ca="1">-N102*Assumptions!$W$55</f>
        <v>-55756.859237169956</v>
      </c>
      <c r="O103" s="147">
        <f ca="1">-O102*Assumptions!$W$55</f>
        <v>-57615.421211742301</v>
      </c>
      <c r="P103" s="147">
        <f ca="1">-P102*Assumptions!$W$55</f>
        <v>-59535.935252133713</v>
      </c>
      <c r="Q103" s="147">
        <f ca="1">-Q102*Assumptions!$W$55</f>
        <v>-61520.466427204839</v>
      </c>
      <c r="R103" s="147">
        <f ca="1">-R102*Assumptions!$W$55</f>
        <v>-63571.148641445012</v>
      </c>
    </row>
    <row r="104" spans="2:18">
      <c r="B104" s="128" t="s">
        <v>417</v>
      </c>
      <c r="C104" s="125"/>
      <c r="D104" s="147">
        <f ca="1">D103+D102</f>
        <v>0</v>
      </c>
      <c r="E104" s="147">
        <f t="shared" ref="E104:R104" ca="1" si="99">E103+E102</f>
        <v>0</v>
      </c>
      <c r="F104" s="147">
        <f t="shared" ca="1" si="99"/>
        <v>0</v>
      </c>
      <c r="G104" s="147">
        <f t="shared" ca="1" si="99"/>
        <v>0</v>
      </c>
      <c r="H104" s="147">
        <f t="shared" ca="1" si="99"/>
        <v>870180.34271571739</v>
      </c>
      <c r="I104" s="147">
        <f t="shared" ca="1" si="99"/>
        <v>899186.35413957457</v>
      </c>
      <c r="J104" s="147">
        <f t="shared" ca="1" si="99"/>
        <v>929159.23261089367</v>
      </c>
      <c r="K104" s="147">
        <f t="shared" ca="1" si="99"/>
        <v>960131.20703125687</v>
      </c>
      <c r="L104" s="147">
        <f t="shared" ca="1" si="99"/>
        <v>992135.58059896564</v>
      </c>
      <c r="M104" s="147">
        <f t="shared" ca="1" si="99"/>
        <v>1025206.7666189313</v>
      </c>
      <c r="N104" s="147">
        <f t="shared" ca="1" si="99"/>
        <v>1059380.3255062292</v>
      </c>
      <c r="O104" s="147">
        <f t="shared" ca="1" si="99"/>
        <v>1094693.0030231036</v>
      </c>
      <c r="P104" s="147">
        <f t="shared" ca="1" si="99"/>
        <v>1131182.7697905404</v>
      </c>
      <c r="Q104" s="147">
        <f t="shared" ca="1" si="99"/>
        <v>1168888.8621168919</v>
      </c>
      <c r="R104" s="147">
        <f t="shared" ca="1" si="99"/>
        <v>1207851.8241874552</v>
      </c>
    </row>
    <row r="105" spans="2:18">
      <c r="B105" s="128"/>
      <c r="C105" s="125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</row>
    <row r="106" spans="2:18">
      <c r="B106" s="128" t="s">
        <v>418</v>
      </c>
      <c r="C106" s="125"/>
      <c r="D106" s="314">
        <f ca="1">D104*(1-D108)</f>
        <v>0</v>
      </c>
      <c r="E106" s="314">
        <f t="shared" ref="E106:R106" ca="1" si="100">E104*(1-E108)</f>
        <v>0</v>
      </c>
      <c r="F106" s="314">
        <f t="shared" ca="1" si="100"/>
        <v>0</v>
      </c>
      <c r="G106" s="314">
        <f t="shared" ca="1" si="100"/>
        <v>0</v>
      </c>
      <c r="H106" s="314">
        <f t="shared" ca="1" si="100"/>
        <v>26105.410281471544</v>
      </c>
      <c r="I106" s="314">
        <f t="shared" ca="1" si="100"/>
        <v>26975.590624187262</v>
      </c>
      <c r="J106" s="314">
        <f t="shared" ca="1" si="100"/>
        <v>27874.776978326834</v>
      </c>
      <c r="K106" s="314">
        <f t="shared" ca="1" si="100"/>
        <v>28803.936210937733</v>
      </c>
      <c r="L106" s="314">
        <f t="shared" ca="1" si="100"/>
        <v>29764.067417968996</v>
      </c>
      <c r="M106" s="314">
        <f t="shared" ca="1" si="100"/>
        <v>30756.202998567966</v>
      </c>
      <c r="N106" s="314">
        <f t="shared" ca="1" si="100"/>
        <v>31781.409765186905</v>
      </c>
      <c r="O106" s="314">
        <f t="shared" ca="1" si="100"/>
        <v>32840.790090693139</v>
      </c>
      <c r="P106" s="314">
        <f t="shared" ca="1" si="100"/>
        <v>33935.483093716241</v>
      </c>
      <c r="Q106" s="314">
        <f t="shared" ca="1" si="100"/>
        <v>35066.665863506787</v>
      </c>
      <c r="R106" s="314">
        <f t="shared" ca="1" si="100"/>
        <v>36235.55472562369</v>
      </c>
    </row>
    <row r="107" spans="2:18">
      <c r="C107" s="125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</row>
    <row r="108" spans="2:18">
      <c r="B108" s="123" t="s">
        <v>419</v>
      </c>
      <c r="C108" s="125"/>
      <c r="D108" s="94">
        <f>Assumptions!$W$84</f>
        <v>0.97</v>
      </c>
      <c r="E108" s="94">
        <f>Assumptions!$W$84</f>
        <v>0.97</v>
      </c>
      <c r="F108" s="94">
        <f>Assumptions!$W$84</f>
        <v>0.97</v>
      </c>
      <c r="G108" s="94">
        <f>Assumptions!$W$84</f>
        <v>0.97</v>
      </c>
      <c r="H108" s="94">
        <f>Assumptions!$W$84</f>
        <v>0.97</v>
      </c>
      <c r="I108" s="94">
        <f>Assumptions!$W$84</f>
        <v>0.97</v>
      </c>
      <c r="J108" s="94">
        <f>Assumptions!$W$84</f>
        <v>0.97</v>
      </c>
      <c r="K108" s="94">
        <f>Assumptions!$W$84</f>
        <v>0.97</v>
      </c>
      <c r="L108" s="94">
        <f>Assumptions!$W$84</f>
        <v>0.97</v>
      </c>
      <c r="M108" s="94">
        <f>Assumptions!$W$84</f>
        <v>0.97</v>
      </c>
      <c r="N108" s="94">
        <f>Assumptions!$W$84</f>
        <v>0.97</v>
      </c>
      <c r="O108" s="94">
        <f>Assumptions!$W$84</f>
        <v>0.97</v>
      </c>
      <c r="P108" s="94">
        <f>Assumptions!$W$84</f>
        <v>0.97</v>
      </c>
      <c r="Q108" s="94">
        <f>Assumptions!$W$84</f>
        <v>0.97</v>
      </c>
      <c r="R108" s="94">
        <f>Assumptions!$W$84</f>
        <v>0.97</v>
      </c>
    </row>
    <row r="109" spans="2:18" ht="17.100000000000001" thickBot="1">
      <c r="B109" s="123"/>
      <c r="C109" s="125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</row>
    <row r="110" spans="2:18" ht="17.100000000000001" thickBot="1">
      <c r="B110" s="315" t="s">
        <v>420</v>
      </c>
      <c r="C110" s="288"/>
      <c r="D110" s="289">
        <f ca="1">D104-D106</f>
        <v>0</v>
      </c>
      <c r="E110" s="289">
        <f t="shared" ref="E110:R110" ca="1" si="101">E104-E106</f>
        <v>0</v>
      </c>
      <c r="F110" s="289">
        <f t="shared" ca="1" si="101"/>
        <v>0</v>
      </c>
      <c r="G110" s="289">
        <f t="shared" ca="1" si="101"/>
        <v>0</v>
      </c>
      <c r="H110" s="289">
        <f t="shared" ca="1" si="101"/>
        <v>844074.93243424583</v>
      </c>
      <c r="I110" s="289">
        <f t="shared" ca="1" si="101"/>
        <v>872210.76351538731</v>
      </c>
      <c r="J110" s="289">
        <f t="shared" ca="1" si="101"/>
        <v>901284.45563256682</v>
      </c>
      <c r="K110" s="289">
        <f t="shared" ca="1" si="101"/>
        <v>931327.27082031919</v>
      </c>
      <c r="L110" s="289">
        <f t="shared" ca="1" si="101"/>
        <v>962371.51318099664</v>
      </c>
      <c r="M110" s="289">
        <f t="shared" ca="1" si="101"/>
        <v>994450.56362036336</v>
      </c>
      <c r="N110" s="289">
        <f t="shared" ca="1" si="101"/>
        <v>1027598.9157410422</v>
      </c>
      <c r="O110" s="289">
        <f t="shared" ca="1" si="101"/>
        <v>1061852.2129324104</v>
      </c>
      <c r="P110" s="289">
        <f t="shared" ca="1" si="101"/>
        <v>1097247.2866968242</v>
      </c>
      <c r="Q110" s="289">
        <f t="shared" ca="1" si="101"/>
        <v>1133822.1962533852</v>
      </c>
      <c r="R110" s="290">
        <f t="shared" ca="1" si="101"/>
        <v>1171616.2694618315</v>
      </c>
    </row>
    <row r="111" spans="2:18">
      <c r="B111" s="127" t="s">
        <v>421</v>
      </c>
      <c r="C111" s="125"/>
      <c r="D111" s="147">
        <f ca="1">D110/Assumptions!$W$93</f>
        <v>0</v>
      </c>
      <c r="E111" s="147">
        <f ca="1">E110/Assumptions!$W$93</f>
        <v>0</v>
      </c>
      <c r="F111" s="147">
        <f ca="1">F110/Assumptions!$W$93</f>
        <v>0</v>
      </c>
      <c r="G111" s="147">
        <f ca="1">G110/Assumptions!$W$93</f>
        <v>0</v>
      </c>
      <c r="H111" s="147">
        <f ca="1">H110/Assumptions!$W$93</f>
        <v>14067915.540570764</v>
      </c>
      <c r="I111" s="147">
        <f ca="1">I110/Assumptions!$W$93</f>
        <v>14536846.058589788</v>
      </c>
      <c r="J111" s="147">
        <f ca="1">J110/Assumptions!$W$93</f>
        <v>15021407.593876114</v>
      </c>
      <c r="K111" s="147">
        <f ca="1">K110/Assumptions!$W$93</f>
        <v>15522121.180338653</v>
      </c>
      <c r="L111" s="147">
        <f ca="1">L110/Assumptions!$W$93</f>
        <v>16039525.219683278</v>
      </c>
      <c r="M111" s="147">
        <f ca="1">M110/Assumptions!$W$93</f>
        <v>16574176.060339389</v>
      </c>
      <c r="N111" s="147">
        <f ca="1">N110/Assumptions!$W$93</f>
        <v>17126648.595684037</v>
      </c>
      <c r="O111" s="147">
        <f ca="1">O110/Assumptions!$W$93</f>
        <v>17697536.882206842</v>
      </c>
      <c r="P111" s="147">
        <f ca="1">P110/Assumptions!$W$93</f>
        <v>18287454.778280403</v>
      </c>
      <c r="Q111" s="147">
        <f ca="1">Q110/Assumptions!$W$93</f>
        <v>18897036.604223087</v>
      </c>
      <c r="R111" s="147">
        <f ca="1">R110/Assumptions!$W$93</f>
        <v>19526937.824363861</v>
      </c>
    </row>
    <row r="112" spans="2:18" ht="17.100000000000001" thickBot="1">
      <c r="B112" s="128"/>
      <c r="C112" s="128"/>
    </row>
    <row r="113" spans="2:18" ht="17.100000000000001" thickBot="1">
      <c r="B113" s="287" t="s">
        <v>424</v>
      </c>
      <c r="C113" s="288"/>
      <c r="D113" s="289">
        <f ca="1">D87+D66+D45+D22+D110</f>
        <v>0</v>
      </c>
      <c r="E113" s="289">
        <f ca="1">E87+E66+E45+E22+E110</f>
        <v>0</v>
      </c>
      <c r="F113" s="289">
        <f ca="1">F87+F66+F45+F22+F110</f>
        <v>0</v>
      </c>
      <c r="G113" s="289">
        <f ca="1">G87+G66+G45+G22+G110</f>
        <v>0</v>
      </c>
      <c r="H113" s="289">
        <f ca="1">H87+H66+H45+H22+H110</f>
        <v>16277573.378461426</v>
      </c>
      <c r="I113" s="289">
        <f ca="1">I87+I66+I45+I22+I110</f>
        <v>23461727.355095703</v>
      </c>
      <c r="J113" s="289">
        <f ca="1">J87+J66+J45+J22+J110</f>
        <v>24128168.822190695</v>
      </c>
      <c r="K113" s="289">
        <f ca="1">K87+K66+K45+K22+K110</f>
        <v>24814486.820839204</v>
      </c>
      <c r="L113" s="289">
        <f ca="1">L87+L66+L45+L22+L110</f>
        <v>25521290.711062428</v>
      </c>
      <c r="M113" s="289">
        <f ca="1">M87+M66+M45+M22+M110</f>
        <v>26249208.823468681</v>
      </c>
      <c r="N113" s="289">
        <f ca="1">N87+N66+N45+N22+N110</f>
        <v>26998889.055178683</v>
      </c>
      <c r="O113" s="289">
        <f ca="1">O87+O66+O45+O22+O110</f>
        <v>27770999.484579358</v>
      </c>
      <c r="P113" s="289">
        <f ca="1">P87+P66+P45+P22+P110</f>
        <v>28566229.005503673</v>
      </c>
      <c r="Q113" s="289">
        <f ca="1">Q87+Q66+Q45+Q22+Q110</f>
        <v>29385287.981452793</v>
      </c>
      <c r="R113" s="289">
        <f ca="1">R87+R66+R45+R22+R110</f>
        <v>30228908.92049681</v>
      </c>
    </row>
    <row r="114" spans="2:18">
      <c r="B114" s="125" t="s">
        <v>425</v>
      </c>
      <c r="C114" s="125"/>
      <c r="D114" s="147">
        <f ca="1">D88+D67+D46+D23+D111</f>
        <v>0</v>
      </c>
      <c r="E114" s="147">
        <f ca="1">E88+E67+E46+E23+E111</f>
        <v>0</v>
      </c>
      <c r="F114" s="147">
        <f ca="1">F88+F67+F46+F23+F111</f>
        <v>0</v>
      </c>
      <c r="G114" s="147">
        <f ca="1">G88+G67+G46+G23+G111</f>
        <v>0</v>
      </c>
      <c r="H114" s="147">
        <f ca="1">H88+H67+H46+H23+H111</f>
        <v>334708889.97828925</v>
      </c>
      <c r="I114" s="147">
        <f ca="1">I88+I67+I46+I23+I111</f>
        <v>505067334.5387181</v>
      </c>
      <c r="J114" s="147">
        <f ca="1">J88+J67+J46+J23+J111</f>
        <v>519640453.64143646</v>
      </c>
      <c r="K114" s="147">
        <f ca="1">K88+K67+K46+K23+K111</f>
        <v>534650307.94155371</v>
      </c>
      <c r="L114" s="147">
        <f ca="1">L88+L67+L46+L23+L111</f>
        <v>550110266.79063416</v>
      </c>
      <c r="M114" s="147">
        <f ca="1">M88+M67+M46+M23+M111</f>
        <v>566034113.76926601</v>
      </c>
      <c r="N114" s="147">
        <f ca="1">N88+N67+N46+N23+N111</f>
        <v>582436059.61579394</v>
      </c>
      <c r="O114" s="147">
        <f ca="1">O88+O67+O46+O23+O111</f>
        <v>599330755.56059694</v>
      </c>
      <c r="P114" s="147">
        <f ca="1">P88+P67+P46+P23+P111</f>
        <v>616733307.07867885</v>
      </c>
      <c r="Q114" s="147">
        <f ca="1">Q88+Q67+Q46+Q23+Q111</f>
        <v>634659288.07374859</v>
      </c>
      <c r="R114" s="147">
        <f ca="1">R88+R67+R46+R23+R111</f>
        <v>653124755.50737643</v>
      </c>
    </row>
    <row r="115" spans="2:18">
      <c r="B115" s="125"/>
      <c r="C115" s="125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</row>
    <row r="116" spans="2:18">
      <c r="B116" s="125"/>
      <c r="C116" s="125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</row>
    <row r="117" spans="2:18" ht="18">
      <c r="B117" s="302" t="s">
        <v>35</v>
      </c>
      <c r="C117" s="284"/>
      <c r="D117" s="284"/>
      <c r="E117" s="284"/>
      <c r="F117" s="284"/>
      <c r="G117" s="284"/>
      <c r="H117" s="284"/>
      <c r="I117" s="284"/>
      <c r="J117" s="284"/>
      <c r="K117" s="284"/>
      <c r="L117" s="284"/>
      <c r="M117" s="284"/>
      <c r="N117" s="284"/>
      <c r="O117" s="284"/>
      <c r="P117" s="284"/>
      <c r="Q117" s="284"/>
      <c r="R117" s="284"/>
    </row>
    <row r="118" spans="2:18">
      <c r="B118" s="123" t="s">
        <v>426</v>
      </c>
      <c r="C118" s="147"/>
      <c r="D118" s="147">
        <v>0</v>
      </c>
      <c r="E118" s="147">
        <f ca="1">D121-D128</f>
        <v>0</v>
      </c>
      <c r="F118" s="147">
        <f t="shared" ref="F118:N118" ca="1" si="102">E121-E128</f>
        <v>0</v>
      </c>
      <c r="G118" s="147">
        <f t="shared" ca="1" si="102"/>
        <v>27381119.225255128</v>
      </c>
      <c r="H118" s="147">
        <f t="shared" ca="1" si="102"/>
        <v>180422055.6820491</v>
      </c>
      <c r="I118" s="147">
        <f t="shared" ca="1" si="102"/>
        <v>306683290.56927502</v>
      </c>
      <c r="J118" s="147">
        <f t="shared" ca="1" si="102"/>
        <v>300286277.6265794</v>
      </c>
      <c r="K118" s="147">
        <f t="shared" ca="1" si="102"/>
        <v>293772154.83572751</v>
      </c>
      <c r="L118" s="147">
        <f t="shared" ca="1" si="102"/>
        <v>0</v>
      </c>
      <c r="M118" s="147">
        <f t="shared" ca="1" si="102"/>
        <v>0</v>
      </c>
      <c r="N118" s="147">
        <f t="shared" ca="1" si="102"/>
        <v>0</v>
      </c>
      <c r="O118" s="147">
        <f t="shared" ref="O118:R118" ca="1" si="103">N121-N128</f>
        <v>0</v>
      </c>
      <c r="P118" s="147">
        <f t="shared" ca="1" si="103"/>
        <v>0</v>
      </c>
      <c r="Q118" s="147">
        <f t="shared" ca="1" si="103"/>
        <v>0</v>
      </c>
      <c r="R118" s="147">
        <f t="shared" ca="1" si="103"/>
        <v>0</v>
      </c>
    </row>
    <row r="119" spans="2:18">
      <c r="B119" s="123" t="s">
        <v>427</v>
      </c>
      <c r="C119" s="147"/>
      <c r="D119" s="147">
        <f ca="1">D158</f>
        <v>0</v>
      </c>
      <c r="E119" s="147">
        <f ca="1">E158</f>
        <v>0</v>
      </c>
      <c r="F119" s="147">
        <f ca="1">F158</f>
        <v>27898448.613894671</v>
      </c>
      <c r="G119" s="147">
        <f ca="1">G158</f>
        <v>156588802.88465017</v>
      </c>
      <c r="H119" s="147">
        <f ca="1">H158</f>
        <v>132538100.42652294</v>
      </c>
      <c r="I119" s="147">
        <f ca="1">I158</f>
        <v>0</v>
      </c>
      <c r="J119" s="147">
        <f ca="1">J158</f>
        <v>0</v>
      </c>
      <c r="K119" s="147">
        <f ca="1">K158</f>
        <v>0</v>
      </c>
      <c r="L119" s="147">
        <f ca="1">L158</f>
        <v>0</v>
      </c>
      <c r="M119" s="147">
        <f ca="1">M158</f>
        <v>0</v>
      </c>
      <c r="N119" s="147">
        <f ca="1">N158</f>
        <v>0</v>
      </c>
      <c r="O119" s="147">
        <f t="shared" ref="O119:R119" ca="1" si="104">O158</f>
        <v>0</v>
      </c>
      <c r="P119" s="147">
        <f t="shared" ca="1" si="104"/>
        <v>0</v>
      </c>
      <c r="Q119" s="147">
        <f t="shared" ca="1" si="104"/>
        <v>0</v>
      </c>
      <c r="R119" s="147">
        <f t="shared" ca="1" si="104"/>
        <v>0</v>
      </c>
    </row>
    <row r="120" spans="2:18">
      <c r="B120" s="123" t="s">
        <v>428</v>
      </c>
      <c r="C120" s="147"/>
      <c r="D120" s="147">
        <v>0</v>
      </c>
      <c r="E120" s="147">
        <f ca="1">PPMT(Assumptions!$W$100,'Phase II Pro Forma'!E$1,Assumptions!$V$101,SUM('Phase II Pro Forma'!E118,E119))</f>
        <v>0</v>
      </c>
      <c r="F120" s="147">
        <f ca="1">PPMT(Assumptions!$W$100,'Phase II Pro Forma'!F$1,Assumptions!$V$101,SUM('Phase II Pro Forma'!F118,F119))</f>
        <v>-517329.38863954262</v>
      </c>
      <c r="G120" s="147">
        <f ca="1">PPMT(Assumptions!$W$100,'Phase II Pro Forma'!G$1,Assumptions!$V$101,SUM('Phase II Pro Forma'!G118,G119))</f>
        <v>-3547866.4278562218</v>
      </c>
      <c r="H120" s="147">
        <f ca="1">PPMT(Assumptions!$W$100,'Phase II Pro Forma'!H$1,Assumptions!$V$101,SUM('Phase II Pro Forma'!H118,H119))</f>
        <v>-6276865.5392969828</v>
      </c>
      <c r="I120" s="147">
        <f ca="1">PPMT(Assumptions!$W$100,'Phase II Pro Forma'!I$1,Assumptions!$V$101,SUM('Phase II Pro Forma'!I118,I119))</f>
        <v>-6397012.9426956465</v>
      </c>
      <c r="J120" s="147">
        <f ca="1">PPMT(Assumptions!$W$100,'Phase II Pro Forma'!J$1,Assumptions!$V$101,SUM('Phase II Pro Forma'!J118,J119))</f>
        <v>-6514122.7908519059</v>
      </c>
      <c r="K120" s="147">
        <f ca="1">PPMT(Assumptions!$W$100,'Phase II Pro Forma'!K$1,Assumptions!$V$101,SUM('Phase II Pro Forma'!K118,K119))</f>
        <v>-6627724.1185604213</v>
      </c>
      <c r="L120" s="147">
        <f ca="1">PPMT(Assumptions!$W$100,'Phase II Pro Forma'!L$1,Assumptions!$V$101,SUM('Phase II Pro Forma'!L118,L119))</f>
        <v>0</v>
      </c>
      <c r="M120" s="147">
        <f ca="1">PPMT(Assumptions!$W$100,'Phase II Pro Forma'!M$1,Assumptions!$V$101,SUM('Phase II Pro Forma'!M118,M119))</f>
        <v>0</v>
      </c>
      <c r="N120" s="147">
        <f ca="1">PPMT(Assumptions!$W$100,'Phase II Pro Forma'!N$1,Assumptions!$V$101,SUM('Phase II Pro Forma'!N118,N119))</f>
        <v>0</v>
      </c>
      <c r="O120" s="147">
        <f ca="1">PPMT(Assumptions!$W$100,'Phase II Pro Forma'!O$1,Assumptions!$V$101,SUM('Phase II Pro Forma'!O118,O119))</f>
        <v>0</v>
      </c>
      <c r="P120" s="147">
        <f ca="1">PPMT(Assumptions!$W$100,'Phase II Pro Forma'!P$1,Assumptions!$V$101,SUM('Phase II Pro Forma'!P118,P119))</f>
        <v>0</v>
      </c>
      <c r="Q120" s="147">
        <f ca="1">PPMT(Assumptions!$W$100,'Phase II Pro Forma'!Q$1,Assumptions!$V$101,SUM('Phase II Pro Forma'!Q118,Q119))</f>
        <v>0</v>
      </c>
      <c r="R120" s="147">
        <f ca="1">PPMT(Assumptions!$W$100,'Phase II Pro Forma'!R$1,Assumptions!$V$101,SUM('Phase II Pro Forma'!R118,R119))</f>
        <v>0</v>
      </c>
    </row>
    <row r="121" spans="2:18">
      <c r="B121" s="123" t="s">
        <v>429</v>
      </c>
      <c r="C121" s="147"/>
      <c r="D121" s="147">
        <f ca="1">SUM(D118:D120)</f>
        <v>0</v>
      </c>
      <c r="E121" s="147">
        <f t="shared" ref="E121:N121" ca="1" si="105">SUM(E118:E120)</f>
        <v>0</v>
      </c>
      <c r="F121" s="147">
        <f t="shared" ca="1" si="105"/>
        <v>27381119.225255128</v>
      </c>
      <c r="G121" s="147">
        <f t="shared" ca="1" si="105"/>
        <v>180422055.6820491</v>
      </c>
      <c r="H121" s="147">
        <f t="shared" ca="1" si="105"/>
        <v>306683290.56927502</v>
      </c>
      <c r="I121" s="147">
        <f t="shared" ca="1" si="105"/>
        <v>300286277.6265794</v>
      </c>
      <c r="J121" s="147">
        <f t="shared" ca="1" si="105"/>
        <v>293772154.83572751</v>
      </c>
      <c r="K121" s="147">
        <f t="shared" ca="1" si="105"/>
        <v>287144430.71716708</v>
      </c>
      <c r="L121" s="147">
        <f t="shared" ca="1" si="105"/>
        <v>0</v>
      </c>
      <c r="M121" s="147">
        <f t="shared" ca="1" si="105"/>
        <v>0</v>
      </c>
      <c r="N121" s="147">
        <f t="shared" ca="1" si="105"/>
        <v>0</v>
      </c>
      <c r="O121" s="147">
        <f t="shared" ref="O121" ca="1" si="106">SUM(O118:O120)</f>
        <v>0</v>
      </c>
      <c r="P121" s="147">
        <f t="shared" ref="P121" ca="1" si="107">SUM(P118:P120)</f>
        <v>0</v>
      </c>
      <c r="Q121" s="147">
        <f t="shared" ref="Q121" ca="1" si="108">SUM(Q118:Q120)</f>
        <v>0</v>
      </c>
      <c r="R121" s="147">
        <f t="shared" ref="R121" ca="1" si="109">SUM(R118:R120)</f>
        <v>0</v>
      </c>
    </row>
    <row r="122" spans="2:18">
      <c r="B122" s="128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</row>
    <row r="123" spans="2:18">
      <c r="B123" s="128" t="s">
        <v>430</v>
      </c>
      <c r="C123" s="147"/>
      <c r="D123" s="147">
        <f>D118*Assumptions!$W$100</f>
        <v>0</v>
      </c>
      <c r="E123" s="147">
        <f ca="1">E118*Assumptions!$W$100</f>
        <v>0</v>
      </c>
      <c r="F123" s="147">
        <f ca="1">F118*Assumptions!$W$100</f>
        <v>0</v>
      </c>
      <c r="G123" s="147">
        <f ca="1">G118*Assumptions!$W$100</f>
        <v>1095244.7690102051</v>
      </c>
      <c r="H123" s="147">
        <f ca="1">H118*Assumptions!$W$100</f>
        <v>7216882.2272819644</v>
      </c>
      <c r="I123" s="147">
        <f ca="1">I118*Assumptions!$W$100</f>
        <v>12267331.622771</v>
      </c>
      <c r="J123" s="147">
        <f ca="1">J118*Assumptions!$W$100</f>
        <v>12011451.105063176</v>
      </c>
      <c r="K123" s="147">
        <f ca="1">K118*Assumptions!$W$100</f>
        <v>11750886.193429101</v>
      </c>
      <c r="L123" s="147">
        <f ca="1">L118*Assumptions!$W$100</f>
        <v>0</v>
      </c>
      <c r="M123" s="147">
        <f ca="1">M118*Assumptions!$W$100</f>
        <v>0</v>
      </c>
      <c r="N123" s="147">
        <f ca="1">N118*Assumptions!$W$100</f>
        <v>0</v>
      </c>
      <c r="O123" s="147">
        <f ca="1">O118*Assumptions!$W$100</f>
        <v>0</v>
      </c>
      <c r="P123" s="147">
        <f ca="1">P118*Assumptions!$W$100</f>
        <v>0</v>
      </c>
      <c r="Q123" s="147">
        <f ca="1">Q118*Assumptions!$W$100</f>
        <v>0</v>
      </c>
      <c r="R123" s="147">
        <f ca="1">R118*Assumptions!$W$100</f>
        <v>0</v>
      </c>
    </row>
    <row r="124" spans="2:18">
      <c r="B124" s="128" t="s">
        <v>431</v>
      </c>
      <c r="C124" s="147"/>
      <c r="D124" s="147">
        <f>D123-D120</f>
        <v>0</v>
      </c>
      <c r="E124" s="147">
        <f t="shared" ref="E124:N124" ca="1" si="110">E123-E120</f>
        <v>0</v>
      </c>
      <c r="F124" s="147">
        <f t="shared" ca="1" si="110"/>
        <v>517329.38863954262</v>
      </c>
      <c r="G124" s="147">
        <f t="shared" ca="1" si="110"/>
        <v>4643111.1968664266</v>
      </c>
      <c r="H124" s="147">
        <f t="shared" ca="1" si="110"/>
        <v>13493747.766578946</v>
      </c>
      <c r="I124" s="147">
        <f t="shared" ca="1" si="110"/>
        <v>18664344.565466646</v>
      </c>
      <c r="J124" s="147">
        <f t="shared" ca="1" si="110"/>
        <v>18525573.895915084</v>
      </c>
      <c r="K124" s="147">
        <f t="shared" ca="1" si="110"/>
        <v>18378610.311989523</v>
      </c>
      <c r="L124" s="147">
        <f t="shared" ca="1" si="110"/>
        <v>0</v>
      </c>
      <c r="M124" s="147">
        <f t="shared" ca="1" si="110"/>
        <v>0</v>
      </c>
      <c r="N124" s="147">
        <f t="shared" ca="1" si="110"/>
        <v>0</v>
      </c>
      <c r="O124" s="147">
        <f t="shared" ref="O124" ca="1" si="111">O123-O120</f>
        <v>0</v>
      </c>
      <c r="P124" s="147">
        <f t="shared" ref="P124" ca="1" si="112">P123-P120</f>
        <v>0</v>
      </c>
      <c r="Q124" s="147">
        <f t="shared" ref="Q124" ca="1" si="113">Q123-Q120</f>
        <v>0</v>
      </c>
      <c r="R124" s="147">
        <f t="shared" ref="R124" ca="1" si="114">R123-R120</f>
        <v>0</v>
      </c>
    </row>
    <row r="125" spans="2:18">
      <c r="B125" s="128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</row>
    <row r="126" spans="2:18">
      <c r="B126" s="128" t="s">
        <v>191</v>
      </c>
      <c r="C126" s="147"/>
      <c r="D126" s="147">
        <f ca="1">D119*Assumptions!$W$102</f>
        <v>0</v>
      </c>
      <c r="E126" s="147">
        <f ca="1">E119*Assumptions!$W$102</f>
        <v>0</v>
      </c>
      <c r="F126" s="147">
        <f ca="1">F119*Assumptions!$W$102</f>
        <v>418476.72920842003</v>
      </c>
      <c r="G126" s="147">
        <f ca="1">G119*Assumptions!$W$102</f>
        <v>2348832.0432697525</v>
      </c>
      <c r="H126" s="147">
        <f ca="1">H119*Assumptions!$W$102</f>
        <v>1988071.5063978441</v>
      </c>
      <c r="I126" s="147">
        <f ca="1">I119*Assumptions!$W$102</f>
        <v>0</v>
      </c>
      <c r="J126" s="147">
        <f ca="1">J119*Assumptions!$W$102</f>
        <v>0</v>
      </c>
      <c r="K126" s="147">
        <f ca="1">K119*Assumptions!$W$102</f>
        <v>0</v>
      </c>
      <c r="L126" s="147">
        <f ca="1">L119*Assumptions!$W$102</f>
        <v>0</v>
      </c>
      <c r="M126" s="147">
        <f ca="1">M119*Assumptions!$W$102</f>
        <v>0</v>
      </c>
      <c r="N126" s="147">
        <f ca="1">N119*Assumptions!$W$102</f>
        <v>0</v>
      </c>
      <c r="O126" s="147">
        <f ca="1">O119*Assumptions!$W$102</f>
        <v>0</v>
      </c>
      <c r="P126" s="147">
        <f ca="1">P119*Assumptions!$W$102</f>
        <v>0</v>
      </c>
      <c r="Q126" s="147">
        <f ca="1">Q119*Assumptions!$W$102</f>
        <v>0</v>
      </c>
      <c r="R126" s="147">
        <f ca="1">R119*Assumptions!$W$102</f>
        <v>0</v>
      </c>
    </row>
    <row r="127" spans="2:18">
      <c r="B127" s="128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</row>
    <row r="128" spans="2:18">
      <c r="B128" s="128" t="s">
        <v>432</v>
      </c>
      <c r="C128" s="147"/>
      <c r="D128" s="147">
        <f>IF(D69=YEAR(Assumptions!$H$5),D121,0)</f>
        <v>0</v>
      </c>
      <c r="E128" s="147">
        <f>IF(E69=YEAR(Assumptions!$H$5),E121,0)</f>
        <v>0</v>
      </c>
      <c r="F128" s="147">
        <f>IF(F69=YEAR(Assumptions!$H$5),F121,0)</f>
        <v>0</v>
      </c>
      <c r="G128" s="147">
        <f>IF(G69=YEAR(Assumptions!$H$5),G121,0)</f>
        <v>0</v>
      </c>
      <c r="H128" s="147">
        <f>IF(H69=YEAR(Assumptions!$H$5),H121,0)</f>
        <v>0</v>
      </c>
      <c r="I128" s="147">
        <f>IF(I69=YEAR(Assumptions!$H$5),I121,0)</f>
        <v>0</v>
      </c>
      <c r="J128" s="147">
        <f>IF(J69=YEAR(Assumptions!$H$5),J121,0)</f>
        <v>0</v>
      </c>
      <c r="K128" s="147">
        <f ca="1">IF(K69=YEAR(Assumptions!$H$5),K121,0)</f>
        <v>287144430.71716708</v>
      </c>
      <c r="L128" s="147">
        <f>IF(L69=YEAR(Assumptions!$H$5),L121,0)</f>
        <v>0</v>
      </c>
      <c r="M128" s="147">
        <f>IF(M69=YEAR(Assumptions!$H$5),M121,0)</f>
        <v>0</v>
      </c>
      <c r="N128" s="147">
        <f>IF(N69=YEAR(Assumptions!$H$5),N121,0)</f>
        <v>0</v>
      </c>
      <c r="O128" s="147">
        <f>IF(O69=YEAR(Assumptions!$H$5),O121,0)</f>
        <v>0</v>
      </c>
      <c r="P128" s="147">
        <f>IF(P69=YEAR(Assumptions!$H$5),P121,0)</f>
        <v>0</v>
      </c>
      <c r="Q128" s="147">
        <f>IF(Q69=YEAR(Assumptions!$H$5),Q121,0)</f>
        <v>0</v>
      </c>
      <c r="R128" s="147">
        <f>IF(R69=YEAR(Assumptions!$H$5),R121,0)</f>
        <v>0</v>
      </c>
    </row>
    <row r="129" spans="2:18" ht="17.100000000000001" thickBot="1">
      <c r="B129" s="128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</row>
    <row r="130" spans="2:18" ht="17.100000000000001" thickBot="1">
      <c r="B130" s="287" t="s">
        <v>433</v>
      </c>
      <c r="C130" s="288"/>
      <c r="D130" s="289">
        <f ca="1">IF(D69&lt;=YEAR(Assumptions!$H$5),D113-D124-D126-D128,0)</f>
        <v>0</v>
      </c>
      <c r="E130" s="289">
        <f ca="1">IF(E69&lt;=YEAR(Assumptions!$H$5),E113-E124-E126-E128,0)</f>
        <v>0</v>
      </c>
      <c r="F130" s="289">
        <f ca="1">IF(F69&lt;=YEAR(Assumptions!$H$5),F113-F124-F126-F128,0)</f>
        <v>-935806.11784796265</v>
      </c>
      <c r="G130" s="289">
        <f ca="1">IF(G69&lt;=YEAR(Assumptions!$H$5),G113-G124-G126-G128,0)</f>
        <v>-6991943.2401361791</v>
      </c>
      <c r="H130" s="289">
        <f ca="1">IF(H69&lt;=YEAR(Assumptions!$H$5),H113-H124-H126-H128,0)</f>
        <v>795754.1054846358</v>
      </c>
      <c r="I130" s="289">
        <f ca="1">IF(I69&lt;=YEAR(Assumptions!$H$5),I113-I124-I126-I128,0)</f>
        <v>4797382.789629057</v>
      </c>
      <c r="J130" s="289">
        <f ca="1">IF(J69&lt;=YEAR(Assumptions!$H$5),J113-J124-J126-J128,0)</f>
        <v>5602594.9262756109</v>
      </c>
      <c r="K130" s="289">
        <f ca="1">IF(K69&lt;=YEAR(Assumptions!$H$5),K113-K124-K126-K128,0)</f>
        <v>-280708554.2083174</v>
      </c>
      <c r="L130" s="289">
        <f>IF(L69&lt;=YEAR(Assumptions!$H$5),L113-L124-L126-L128,0)</f>
        <v>0</v>
      </c>
      <c r="M130" s="289">
        <f>IF(M69&lt;=YEAR(Assumptions!$H$5),M113-M124-M126-M128,0)</f>
        <v>0</v>
      </c>
      <c r="N130" s="289">
        <f>IF(N69&lt;=YEAR(Assumptions!$H$5),N113-N124-N126-N128,0)</f>
        <v>0</v>
      </c>
      <c r="O130" s="289">
        <f>IF(O69&lt;=YEAR(Assumptions!$H$5),O113-O124-O126-O128,0)</f>
        <v>0</v>
      </c>
      <c r="P130" s="289">
        <f>IF(P69&lt;=YEAR(Assumptions!$H$5),P113-P124-P126-P128,0)</f>
        <v>0</v>
      </c>
      <c r="Q130" s="289">
        <f>IF(Q69&lt;=YEAR(Assumptions!$H$5),Q113-Q124-Q126-Q128,0)</f>
        <v>0</v>
      </c>
      <c r="R130" s="289">
        <f>IF(R69&lt;=YEAR(Assumptions!$H$5),R113-R124-R126-R128,0)</f>
        <v>0</v>
      </c>
    </row>
    <row r="131" spans="2:18">
      <c r="B131" s="128"/>
      <c r="C131" s="128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</row>
    <row r="132" spans="2:18">
      <c r="B132" s="128"/>
      <c r="C132" s="128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</row>
    <row r="133" spans="2:18">
      <c r="B133" s="245" t="s">
        <v>434</v>
      </c>
      <c r="C133" s="251"/>
      <c r="D133" s="226"/>
      <c r="E133" s="226"/>
      <c r="F133" s="226"/>
      <c r="G133" s="226"/>
      <c r="H133" s="226"/>
      <c r="I133" s="226"/>
      <c r="J133" s="226"/>
      <c r="K133" s="226"/>
      <c r="L133" s="226"/>
      <c r="M133" s="226"/>
      <c r="N133" s="246"/>
      <c r="O133" s="246"/>
      <c r="P133" s="246"/>
      <c r="Q133" s="246"/>
      <c r="R133" s="246"/>
    </row>
    <row r="134" spans="2:18">
      <c r="B134" s="247" t="s">
        <v>435</v>
      </c>
      <c r="C134" s="128"/>
      <c r="D134" s="147">
        <f>IF(D69=YEAR(Assumptions!$H$5),SUM('Phase II Pro Forma'!D88,'Phase II Pro Forma'!D67,'Phase II Pro Forma'!D46,'Phase II Pro Forma'!D23,D111),0)</f>
        <v>0</v>
      </c>
      <c r="E134" s="147">
        <f>IF(E69=YEAR(Assumptions!$H$5),SUM('Phase II Pro Forma'!E88,'Phase II Pro Forma'!E67,'Phase II Pro Forma'!E46,'Phase II Pro Forma'!E23,E111),0)</f>
        <v>0</v>
      </c>
      <c r="F134" s="147">
        <f>IF(F69=YEAR(Assumptions!$H$5),SUM('Phase II Pro Forma'!F88,'Phase II Pro Forma'!F67,'Phase II Pro Forma'!F46,'Phase II Pro Forma'!F23,F111),0)</f>
        <v>0</v>
      </c>
      <c r="G134" s="147">
        <f>IF(G69=YEAR(Assumptions!$H$5),SUM('Phase II Pro Forma'!G88,'Phase II Pro Forma'!G67,'Phase II Pro Forma'!G46,'Phase II Pro Forma'!G23,G111),0)</f>
        <v>0</v>
      </c>
      <c r="H134" s="147">
        <f>IF(H69=YEAR(Assumptions!$H$5),SUM('Phase II Pro Forma'!H88,'Phase II Pro Forma'!H67,'Phase II Pro Forma'!H46,'Phase II Pro Forma'!H23,H111),0)</f>
        <v>0</v>
      </c>
      <c r="I134" s="147">
        <f>IF(I69=YEAR(Assumptions!$H$5),SUM('Phase II Pro Forma'!I88,'Phase II Pro Forma'!I67,'Phase II Pro Forma'!I46,'Phase II Pro Forma'!I23,I111),0)</f>
        <v>0</v>
      </c>
      <c r="J134" s="147">
        <f>IF(J69=YEAR(Assumptions!$H$5),SUM('Phase II Pro Forma'!J88,'Phase II Pro Forma'!J67,'Phase II Pro Forma'!J46,'Phase II Pro Forma'!J23,J111),0)</f>
        <v>0</v>
      </c>
      <c r="K134" s="147">
        <f ca="1">IF(K69=YEAR(Assumptions!$H$5),SUM('Phase II Pro Forma'!K88,'Phase II Pro Forma'!K67,'Phase II Pro Forma'!K46,'Phase II Pro Forma'!K23,K111),0)</f>
        <v>534650307.94155371</v>
      </c>
      <c r="L134" s="147">
        <f>IF(L69=YEAR(Assumptions!$H$5),SUM('Phase II Pro Forma'!L88,'Phase II Pro Forma'!L67,'Phase II Pro Forma'!L46,'Phase II Pro Forma'!L23,L111),0)</f>
        <v>0</v>
      </c>
      <c r="M134" s="147">
        <f>IF(M69=YEAR(Assumptions!$H$5),SUM('Phase II Pro Forma'!M88,'Phase II Pro Forma'!M67,'Phase II Pro Forma'!M46,'Phase II Pro Forma'!M23,M111),0)</f>
        <v>0</v>
      </c>
      <c r="N134" s="147">
        <f>IF(N69=YEAR(Assumptions!$H$5),SUM('Phase II Pro Forma'!N88,'Phase II Pro Forma'!N67,'Phase II Pro Forma'!N46,'Phase II Pro Forma'!N23,N111),0)</f>
        <v>0</v>
      </c>
      <c r="O134" s="147">
        <f>IF(O69=YEAR(Assumptions!$H$5),SUM('Phase II Pro Forma'!O88,'Phase II Pro Forma'!O67,'Phase II Pro Forma'!O46,'Phase II Pro Forma'!O23,O111),0)</f>
        <v>0</v>
      </c>
      <c r="P134" s="147">
        <f>IF(P69=YEAR(Assumptions!$H$5),SUM('Phase II Pro Forma'!P88,'Phase II Pro Forma'!P67,'Phase II Pro Forma'!P46,'Phase II Pro Forma'!P23,P111),0)</f>
        <v>0</v>
      </c>
      <c r="Q134" s="147">
        <f>IF(Q69=YEAR(Assumptions!$H$5),SUM('Phase II Pro Forma'!Q88,'Phase II Pro Forma'!Q67,'Phase II Pro Forma'!Q46,'Phase II Pro Forma'!Q23,Q111),0)</f>
        <v>0</v>
      </c>
      <c r="R134" s="147">
        <f>IF(R69=YEAR(Assumptions!$H$5),SUM('Phase II Pro Forma'!R88,'Phase II Pro Forma'!R67,'Phase II Pro Forma'!R46,'Phase II Pro Forma'!R23,R111),0)</f>
        <v>0</v>
      </c>
    </row>
    <row r="135" spans="2:18">
      <c r="B135" s="247" t="s">
        <v>436</v>
      </c>
      <c r="C135" s="128"/>
      <c r="D135" s="147">
        <f>-D134*Assumptions!$W$94</f>
        <v>0</v>
      </c>
      <c r="E135" s="147">
        <f>-E134*Assumptions!$W$94</f>
        <v>0</v>
      </c>
      <c r="F135" s="147">
        <f>-F134*Assumptions!$W$94</f>
        <v>0</v>
      </c>
      <c r="G135" s="147">
        <f>-G134*Assumptions!$W$94</f>
        <v>0</v>
      </c>
      <c r="H135" s="147">
        <f>-H134*Assumptions!$W$94</f>
        <v>0</v>
      </c>
      <c r="I135" s="147">
        <f>-I134*Assumptions!$W$94</f>
        <v>0</v>
      </c>
      <c r="J135" s="147">
        <f>-J134*Assumptions!$W$94</f>
        <v>0</v>
      </c>
      <c r="K135" s="147">
        <f ca="1">-K134*Assumptions!$W$94</f>
        <v>-10693006.158831075</v>
      </c>
      <c r="L135" s="147">
        <f>-L134*Assumptions!$W$94</f>
        <v>0</v>
      </c>
      <c r="M135" s="147">
        <f>-M134*Assumptions!$W$94</f>
        <v>0</v>
      </c>
      <c r="N135" s="147">
        <f>-N134*Assumptions!$W$94</f>
        <v>0</v>
      </c>
      <c r="O135" s="147">
        <f>-O134*Assumptions!$W$94</f>
        <v>0</v>
      </c>
      <c r="P135" s="147">
        <f>-P134*Assumptions!$W$94</f>
        <v>0</v>
      </c>
      <c r="Q135" s="147">
        <f>-Q134*Assumptions!$W$94</f>
        <v>0</v>
      </c>
      <c r="R135" s="147">
        <f>-R134*Assumptions!$W$94</f>
        <v>0</v>
      </c>
    </row>
    <row r="136" spans="2:18">
      <c r="B136" s="249" t="s">
        <v>437</v>
      </c>
      <c r="C136" s="252"/>
      <c r="D136" s="217">
        <f>D135+D134</f>
        <v>0</v>
      </c>
      <c r="E136" s="217">
        <f t="shared" ref="E136:N136" si="115">E135+E134</f>
        <v>0</v>
      </c>
      <c r="F136" s="217">
        <f t="shared" si="115"/>
        <v>0</v>
      </c>
      <c r="G136" s="217">
        <f t="shared" si="115"/>
        <v>0</v>
      </c>
      <c r="H136" s="217">
        <f t="shared" si="115"/>
        <v>0</v>
      </c>
      <c r="I136" s="217">
        <f t="shared" si="115"/>
        <v>0</v>
      </c>
      <c r="J136" s="217">
        <f t="shared" si="115"/>
        <v>0</v>
      </c>
      <c r="K136" s="217">
        <f t="shared" ca="1" si="115"/>
        <v>523957301.78272265</v>
      </c>
      <c r="L136" s="217">
        <f t="shared" si="115"/>
        <v>0</v>
      </c>
      <c r="M136" s="217">
        <f t="shared" si="115"/>
        <v>0</v>
      </c>
      <c r="N136" s="250">
        <f t="shared" si="115"/>
        <v>0</v>
      </c>
      <c r="O136" s="250">
        <f t="shared" ref="O136" si="116">O135+O134</f>
        <v>0</v>
      </c>
      <c r="P136" s="250">
        <f t="shared" ref="P136" si="117">P135+P134</f>
        <v>0</v>
      </c>
      <c r="Q136" s="250">
        <f t="shared" ref="Q136" si="118">Q135+Q134</f>
        <v>0</v>
      </c>
      <c r="R136" s="250">
        <f t="shared" ref="R136" si="119">R135+R134</f>
        <v>0</v>
      </c>
    </row>
    <row r="137" spans="2:18" ht="17.100000000000001" thickBot="1">
      <c r="B137" s="128"/>
      <c r="C137" s="128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</row>
    <row r="138" spans="2:18" ht="17.100000000000001" thickBot="1">
      <c r="B138" s="287" t="s">
        <v>438</v>
      </c>
      <c r="C138" s="291"/>
      <c r="D138" s="289">
        <f ca="1">D136+D130</f>
        <v>0</v>
      </c>
      <c r="E138" s="289">
        <f t="shared" ref="E138:N138" ca="1" si="120">E136+E130</f>
        <v>0</v>
      </c>
      <c r="F138" s="289">
        <f t="shared" ca="1" si="120"/>
        <v>-935806.11784796265</v>
      </c>
      <c r="G138" s="289">
        <f t="shared" ca="1" si="120"/>
        <v>-6991943.2401361791</v>
      </c>
      <c r="H138" s="289">
        <f t="shared" ca="1" si="120"/>
        <v>795754.1054846358</v>
      </c>
      <c r="I138" s="289">
        <f t="shared" ca="1" si="120"/>
        <v>4797382.789629057</v>
      </c>
      <c r="J138" s="289">
        <f t="shared" ca="1" si="120"/>
        <v>5602594.9262756109</v>
      </c>
      <c r="K138" s="289">
        <f t="shared" ca="1" si="120"/>
        <v>243248747.57440525</v>
      </c>
      <c r="L138" s="289">
        <f t="shared" si="120"/>
        <v>0</v>
      </c>
      <c r="M138" s="289">
        <f t="shared" si="120"/>
        <v>0</v>
      </c>
      <c r="N138" s="290">
        <f t="shared" si="120"/>
        <v>0</v>
      </c>
      <c r="O138" s="290">
        <f t="shared" ref="O138:R138" si="121">O136+O130</f>
        <v>0</v>
      </c>
      <c r="P138" s="290">
        <f t="shared" si="121"/>
        <v>0</v>
      </c>
      <c r="Q138" s="290">
        <f t="shared" si="121"/>
        <v>0</v>
      </c>
      <c r="R138" s="290">
        <f t="shared" si="121"/>
        <v>0</v>
      </c>
    </row>
    <row r="139" spans="2:18">
      <c r="B139" s="125"/>
      <c r="C139" s="125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</row>
    <row r="140" spans="2:18" ht="18">
      <c r="B140" s="302" t="s">
        <v>16</v>
      </c>
      <c r="C140" s="280"/>
      <c r="D140" s="284"/>
      <c r="E140" s="284"/>
      <c r="F140" s="284"/>
      <c r="G140" s="284"/>
      <c r="H140" s="284"/>
      <c r="I140" s="284"/>
      <c r="J140" s="284"/>
      <c r="K140" s="284"/>
      <c r="L140" s="284"/>
      <c r="M140" s="284"/>
      <c r="N140" s="284"/>
      <c r="O140" s="284"/>
      <c r="P140" s="284"/>
      <c r="Q140" s="284"/>
      <c r="R140" s="284"/>
    </row>
    <row r="141" spans="2:18">
      <c r="B141" s="123" t="s">
        <v>215</v>
      </c>
      <c r="C141" s="147">
        <f>SUM(D141:N141)</f>
        <v>-17964902</v>
      </c>
      <c r="D141" s="147">
        <f>-IF(AND(D70&gt;Assumptions!$D$5,D70&lt;=Assumptions!$E$5),'Sources&amp;Uses'!$G$17/ROUNDUP(Assumptions!$E$2/12,0),0)</f>
        <v>0</v>
      </c>
      <c r="E141" s="147">
        <f>-IF(AND(E70&gt;Assumptions!$D$5,E70&lt;=Assumptions!$E$5),'Sources&amp;Uses'!$G$17/ROUNDUP(Assumptions!$E$2/12,0),0)</f>
        <v>-17964902</v>
      </c>
      <c r="F141" s="147">
        <f>-IF(AND(F70&gt;Assumptions!$D$5,F70&lt;=Assumptions!$E$5),'Sources&amp;Uses'!$G$17/ROUNDUP(Assumptions!$E$2/12,0),0)</f>
        <v>0</v>
      </c>
      <c r="G141" s="147">
        <f>-IF(AND(G70&gt;Assumptions!$D$5,G70&lt;=Assumptions!$E$5),'Sources&amp;Uses'!$G$17/ROUNDUP(Assumptions!$E$2/12,0),0)</f>
        <v>0</v>
      </c>
      <c r="H141" s="147">
        <f>-IF(AND(H70&gt;Assumptions!$D$5,H70&lt;=Assumptions!$E$5),'Sources&amp;Uses'!$G$17/ROUNDUP(Assumptions!$E$2/12,0),0)</f>
        <v>0</v>
      </c>
      <c r="I141" s="147">
        <f>-IF(AND(I70&gt;Assumptions!$D$5,I70&lt;=Assumptions!$E$5),'Sources&amp;Uses'!$G$17/ROUNDUP(Assumptions!$E$2/12,0),0)</f>
        <v>0</v>
      </c>
      <c r="J141" s="147">
        <f>-IF(AND(J70&gt;Assumptions!$D$5,J70&lt;=Assumptions!$E$5),'Sources&amp;Uses'!$G$17/ROUNDUP(Assumptions!$E$2/12,0),0)</f>
        <v>0</v>
      </c>
      <c r="K141" s="147">
        <f>-IF(AND(K70&gt;Assumptions!$D$5,K70&lt;=Assumptions!$E$5),'Sources&amp;Uses'!$G$17/ROUNDUP(Assumptions!$E$2/12,0),0)</f>
        <v>0</v>
      </c>
      <c r="L141" s="147">
        <f>-IF(AND(L70&gt;Assumptions!$D$5,L70&lt;=Assumptions!$E$5),'Sources&amp;Uses'!$G$17/ROUNDUP(Assumptions!$E$2/12,0),0)</f>
        <v>0</v>
      </c>
      <c r="M141" s="147">
        <f>-IF(AND(M70&gt;Assumptions!$D$5,M70&lt;=Assumptions!$E$5),'Sources&amp;Uses'!$G$17/ROUNDUP(Assumptions!$E$2/12,0),0)</f>
        <v>0</v>
      </c>
      <c r="N141" s="147">
        <f>-IF(AND(N70&gt;Assumptions!$D$5,N70&lt;=Assumptions!$E$5),'Sources&amp;Uses'!$G$17/ROUNDUP(Assumptions!$E$2/12,0),0)</f>
        <v>0</v>
      </c>
      <c r="O141" s="147">
        <f>-IF(AND(O70&gt;Assumptions!$D$5,O70&lt;=Assumptions!$E$5),'Sources&amp;Uses'!$G$17/ROUNDUP(Assumptions!$E$2/12,0),0)</f>
        <v>0</v>
      </c>
      <c r="P141" s="147">
        <f>-IF(AND(P70&gt;Assumptions!$D$5,P70&lt;=Assumptions!$E$5),'Sources&amp;Uses'!$G$17/ROUNDUP(Assumptions!$E$2/12,0),0)</f>
        <v>0</v>
      </c>
      <c r="Q141" s="147">
        <f>-IF(AND(Q70&gt;Assumptions!$D$5,Q70&lt;=Assumptions!$E$5),'Sources&amp;Uses'!$G$17/ROUNDUP(Assumptions!$E$2/12,0),0)</f>
        <v>0</v>
      </c>
      <c r="R141" s="147">
        <f>-IF(AND(R70&gt;Assumptions!$D$5,R70&lt;=Assumptions!$E$5),'Sources&amp;Uses'!$G$17/ROUNDUP(Assumptions!$E$2/12,0),0)</f>
        <v>0</v>
      </c>
    </row>
    <row r="142" spans="2:18">
      <c r="B142" s="123" t="s">
        <v>66</v>
      </c>
      <c r="C142" s="147">
        <f t="shared" ref="C142:C148" ca="1" si="122">SUM(D142:N142)</f>
        <v>-14738062.530705001</v>
      </c>
      <c r="D142" s="147">
        <f>-IF(AND(D$70&gt;Assumptions!$E$5,D$70&lt;=Assumptions!$F$5),'Sources&amp;Uses'!$G$18/ROUNDUP(Assumptions!$F$2/12,0),0)</f>
        <v>0</v>
      </c>
      <c r="E142" s="147">
        <f>-IF(AND(E$70&gt;Assumptions!$E$5,E$70&lt;=Assumptions!$F$5),'Sources&amp;Uses'!$G$18/ROUNDUP(Assumptions!$F$2/12,0),0)</f>
        <v>0</v>
      </c>
      <c r="F142" s="147">
        <f ca="1">-IF(AND(F$70&gt;Assumptions!$E$5,F$70&lt;=Assumptions!$F$5),'Sources&amp;Uses'!$G$18/ROUNDUP(Assumptions!$F$2/12,0),0)</f>
        <v>-4912687.5102350004</v>
      </c>
      <c r="G142" s="147">
        <f ca="1">-IF(AND(G$70&gt;Assumptions!$E$5,G$70&lt;=Assumptions!$F$5),'Sources&amp;Uses'!$G$18/ROUNDUP(Assumptions!$F$2/12,0),0)</f>
        <v>-4912687.5102350004</v>
      </c>
      <c r="H142" s="147">
        <f ca="1">-IF(AND(H$70&gt;Assumptions!$E$5,H$70&lt;=Assumptions!$F$5),'Sources&amp;Uses'!$G$18/ROUNDUP(Assumptions!$F$2/12,0),0)</f>
        <v>-4912687.5102350004</v>
      </c>
      <c r="I142" s="147">
        <f>-IF(AND(I$70&gt;Assumptions!$E$5,I$70&lt;=Assumptions!$F$5),'Sources&amp;Uses'!$G$18/ROUNDUP(Assumptions!$F$2/12,0),0)</f>
        <v>0</v>
      </c>
      <c r="J142" s="147">
        <f>-IF(AND(J$70&gt;Assumptions!$E$5,J$70&lt;=Assumptions!$F$5),'Sources&amp;Uses'!$G$18/ROUNDUP(Assumptions!$F$2/12,0),0)</f>
        <v>0</v>
      </c>
      <c r="K142" s="147">
        <f>-IF(AND(K$70&gt;Assumptions!$E$5,K$70&lt;=Assumptions!$F$5),'Sources&amp;Uses'!$G$18/ROUNDUP(Assumptions!$F$2/12,0),0)</f>
        <v>0</v>
      </c>
      <c r="L142" s="147">
        <f>-IF(AND(L$70&gt;Assumptions!$E$5,L$70&lt;=Assumptions!$F$5),'Sources&amp;Uses'!$G$18/ROUNDUP(Assumptions!$F$2/12,0),0)</f>
        <v>0</v>
      </c>
      <c r="M142" s="147">
        <f>-IF(AND(M$70&gt;Assumptions!$E$5,M$70&lt;=Assumptions!$F$5),'Sources&amp;Uses'!$G$18/ROUNDUP(Assumptions!$F$2/12,0),0)</f>
        <v>0</v>
      </c>
      <c r="N142" s="147">
        <f>-IF(AND(N$70&gt;Assumptions!$E$5,N$70&lt;=Assumptions!$F$5),'Sources&amp;Uses'!$G$18/ROUNDUP(Assumptions!$F$2/12,0),0)</f>
        <v>0</v>
      </c>
      <c r="O142" s="147">
        <f>-IF(AND(O$70&gt;Assumptions!$E$5,O$70&lt;=Assumptions!$F$5),'Sources&amp;Uses'!$G$18/ROUNDUP(Assumptions!$F$2/12,0),0)</f>
        <v>0</v>
      </c>
      <c r="P142" s="147">
        <f>-IF(AND(P$70&gt;Assumptions!$E$5,P$70&lt;=Assumptions!$F$5),'Sources&amp;Uses'!$G$18/ROUNDUP(Assumptions!$F$2/12,0),0)</f>
        <v>0</v>
      </c>
      <c r="Q142" s="147">
        <f>-IF(AND(Q$70&gt;Assumptions!$E$5,Q$70&lt;=Assumptions!$F$5),'Sources&amp;Uses'!$G$18/ROUNDUP(Assumptions!$F$2/12,0),0)</f>
        <v>0</v>
      </c>
      <c r="R142" s="147">
        <f>-IF(AND(R$70&gt;Assumptions!$E$5,R$70&lt;=Assumptions!$F$5),'Sources&amp;Uses'!$G$18/ROUNDUP(Assumptions!$F$2/12,0),0)</f>
        <v>0</v>
      </c>
    </row>
    <row r="143" spans="2:18">
      <c r="B143" s="123" t="s">
        <v>17</v>
      </c>
      <c r="C143" s="147">
        <f ca="1">SUM(D143:N143)</f>
        <v>-328159886.33629644</v>
      </c>
      <c r="D143" s="147">
        <f>-IF(AND(D$70&gt;Assumptions!$E$5,D$70&lt;=Assumptions!$F$5),'Sources&amp;Uses'!$G$19/ROUNDUP(Assumptions!$F$2/12,0),0)</f>
        <v>0</v>
      </c>
      <c r="E143" s="147">
        <f>-IF(AND(E$70&gt;Assumptions!$E$5,E$70&lt;=Assumptions!$F$5),'Sources&amp;Uses'!$G$19/ROUNDUP(Assumptions!$F$2/12,0),0)</f>
        <v>0</v>
      </c>
      <c r="F143" s="147">
        <f ca="1">-IF(AND(F$70&gt;Assumptions!$E$5,F$70&lt;=Assumptions!$F$5),'Sources&amp;Uses'!$G$19/ROUNDUP(Assumptions!$F$2/12,0),0)</f>
        <v>-109386628.77876548</v>
      </c>
      <c r="G143" s="147">
        <f ca="1">-IF(AND(G$70&gt;Assumptions!$E$5,G$70&lt;=Assumptions!$F$5),'Sources&amp;Uses'!$G$19/ROUNDUP(Assumptions!$F$2/12,0),0)</f>
        <v>-109386628.77876548</v>
      </c>
      <c r="H143" s="147">
        <f ca="1">-IF(AND(H$70&gt;Assumptions!$E$5,H$70&lt;=Assumptions!$F$5),'Sources&amp;Uses'!$G$19/ROUNDUP(Assumptions!$F$2/12,0),0)</f>
        <v>-109386628.77876548</v>
      </c>
      <c r="I143" s="147">
        <f>-IF(AND(I$70&gt;Assumptions!$E$5,I$70&lt;=Assumptions!$F$5),'Sources&amp;Uses'!$G$19/ROUNDUP(Assumptions!$F$2/12,0),0)</f>
        <v>0</v>
      </c>
      <c r="J143" s="147">
        <f>-IF(AND(J$70&gt;Assumptions!$E$5,J$70&lt;=Assumptions!$F$5),'Sources&amp;Uses'!$G$19/ROUNDUP(Assumptions!$F$2/12,0),0)</f>
        <v>0</v>
      </c>
      <c r="K143" s="147">
        <f>-IF(AND(K$70&gt;Assumptions!$E$5,K$70&lt;=Assumptions!$F$5),'Sources&amp;Uses'!$G$19/ROUNDUP(Assumptions!$F$2/12,0),0)</f>
        <v>0</v>
      </c>
      <c r="L143" s="147">
        <f>-IF(AND(L$70&gt;Assumptions!$E$5,L$70&lt;=Assumptions!$F$5),'Sources&amp;Uses'!$G$19/ROUNDUP(Assumptions!$F$2/12,0),0)</f>
        <v>0</v>
      </c>
      <c r="M143" s="147">
        <f>-IF(AND(M$70&gt;Assumptions!$E$5,M$70&lt;=Assumptions!$F$5),'Sources&amp;Uses'!$G$19/ROUNDUP(Assumptions!$F$2/12,0),0)</f>
        <v>0</v>
      </c>
      <c r="N143" s="147">
        <f>-IF(AND(N$70&gt;Assumptions!$E$5,N$70&lt;=Assumptions!$F$5),'Sources&amp;Uses'!$G$19/ROUNDUP(Assumptions!$F$2/12,0),0)</f>
        <v>0</v>
      </c>
      <c r="O143" s="147">
        <f>-IF(AND(O$70&gt;Assumptions!$E$5,O$70&lt;=Assumptions!$F$5),'Sources&amp;Uses'!$G$19/ROUNDUP(Assumptions!$F$2/12,0),0)</f>
        <v>0</v>
      </c>
      <c r="P143" s="147">
        <f>-IF(AND(P$70&gt;Assumptions!$E$5,P$70&lt;=Assumptions!$F$5),'Sources&amp;Uses'!$G$19/ROUNDUP(Assumptions!$F$2/12,0),0)</f>
        <v>0</v>
      </c>
      <c r="Q143" s="147">
        <f>-IF(AND(Q$70&gt;Assumptions!$E$5,Q$70&lt;=Assumptions!$F$5),'Sources&amp;Uses'!$G$19/ROUNDUP(Assumptions!$F$2/12,0),0)</f>
        <v>0</v>
      </c>
      <c r="R143" s="147">
        <f>-IF(AND(R$70&gt;Assumptions!$E$5,R$70&lt;=Assumptions!$F$5),'Sources&amp;Uses'!$G$19/ROUNDUP(Assumptions!$F$2/12,0),0)</f>
        <v>0</v>
      </c>
    </row>
    <row r="144" spans="2:18">
      <c r="B144" s="123" t="s">
        <v>19</v>
      </c>
      <c r="C144" s="147">
        <f t="shared" ca="1" si="122"/>
        <v>-85724487.216750354</v>
      </c>
      <c r="D144" s="147">
        <f>-IF(AND(D$70&gt;Assumptions!$E$5,D$70&lt;=Assumptions!$F$5),'Sources&amp;Uses'!$G$20/ROUNDUP(Assumptions!$F$2/12,0),0)</f>
        <v>0</v>
      </c>
      <c r="E144" s="147">
        <f>-IF(AND(E$70&gt;Assumptions!$E$5,E$70&lt;=Assumptions!$F$5),'Sources&amp;Uses'!$G$20/ROUNDUP(Assumptions!$F$2/12,0),0)</f>
        <v>0</v>
      </c>
      <c r="F144" s="147">
        <f ca="1">-IF(AND(F$70&gt;Assumptions!$E$5,F$70&lt;=Assumptions!$F$5),'Sources&amp;Uses'!$G$20/ROUNDUP(Assumptions!$F$2/12,0),0)</f>
        <v>-28574829.072250117</v>
      </c>
      <c r="G144" s="147">
        <f ca="1">-IF(AND(G$70&gt;Assumptions!$E$5,G$70&lt;=Assumptions!$F$5),'Sources&amp;Uses'!$G$20/ROUNDUP(Assumptions!$F$2/12,0),0)</f>
        <v>-28574829.072250117</v>
      </c>
      <c r="H144" s="147">
        <f ca="1">-IF(AND(H$70&gt;Assumptions!$E$5,H$70&lt;=Assumptions!$F$5),'Sources&amp;Uses'!$G$20/ROUNDUP(Assumptions!$F$2/12,0),0)</f>
        <v>-28574829.072250117</v>
      </c>
      <c r="I144" s="147">
        <f>-IF(AND(I$70&gt;Assumptions!$E$5,I$70&lt;=Assumptions!$F$5),'Sources&amp;Uses'!$G$20/ROUNDUP(Assumptions!$F$2/12,0),0)</f>
        <v>0</v>
      </c>
      <c r="J144" s="147">
        <f>-IF(AND(J$70&gt;Assumptions!$E$5,J$70&lt;=Assumptions!$F$5),'Sources&amp;Uses'!$G$20/ROUNDUP(Assumptions!$F$2/12,0),0)</f>
        <v>0</v>
      </c>
      <c r="K144" s="147">
        <f>-IF(AND(K$70&gt;Assumptions!$E$5,K$70&lt;=Assumptions!$F$5),'Sources&amp;Uses'!$G$20/ROUNDUP(Assumptions!$F$2/12,0),0)</f>
        <v>0</v>
      </c>
      <c r="L144" s="147">
        <f>-IF(AND(L$70&gt;Assumptions!$E$5,L$70&lt;=Assumptions!$F$5),'Sources&amp;Uses'!$G$20/ROUNDUP(Assumptions!$F$2/12,0),0)</f>
        <v>0</v>
      </c>
      <c r="M144" s="147">
        <f>-IF(AND(M$70&gt;Assumptions!$E$5,M$70&lt;=Assumptions!$F$5),'Sources&amp;Uses'!$G$20/ROUNDUP(Assumptions!$F$2/12,0),0)</f>
        <v>0</v>
      </c>
      <c r="N144" s="147">
        <f>-IF(AND(N$70&gt;Assumptions!$E$5,N$70&lt;=Assumptions!$F$5),'Sources&amp;Uses'!$G$20/ROUNDUP(Assumptions!$F$2/12,0),0)</f>
        <v>0</v>
      </c>
      <c r="O144" s="147">
        <f>-IF(AND(O$70&gt;Assumptions!$E$5,O$70&lt;=Assumptions!$F$5),'Sources&amp;Uses'!$G$20/ROUNDUP(Assumptions!$F$2/12,0),0)</f>
        <v>0</v>
      </c>
      <c r="P144" s="147">
        <f>-IF(AND(P$70&gt;Assumptions!$E$5,P$70&lt;=Assumptions!$F$5),'Sources&amp;Uses'!$G$20/ROUNDUP(Assumptions!$F$2/12,0),0)</f>
        <v>0</v>
      </c>
      <c r="Q144" s="147">
        <f>-IF(AND(Q$70&gt;Assumptions!$E$5,Q$70&lt;=Assumptions!$F$5),'Sources&amp;Uses'!$G$20/ROUNDUP(Assumptions!$F$2/12,0),0)</f>
        <v>0</v>
      </c>
      <c r="R144" s="147">
        <f>-IF(AND(R$70&gt;Assumptions!$E$5,R$70&lt;=Assumptions!$F$5),'Sources&amp;Uses'!$G$20/ROUNDUP(Assumptions!$F$2/12,0),0)</f>
        <v>0</v>
      </c>
    </row>
    <row r="145" spans="2:18">
      <c r="B145" s="123" t="s">
        <v>33</v>
      </c>
      <c r="C145" s="147">
        <f t="shared" ca="1" si="122"/>
        <v>-27941966.154352807</v>
      </c>
      <c r="D145" s="147">
        <f>-IF(AND(D$70&gt;Assumptions!$E$5,D$70&lt;=Assumptions!$F$5),'Sources&amp;Uses'!$G$21/ROUNDUP(Assumptions!$F$2/12,0),0)</f>
        <v>0</v>
      </c>
      <c r="E145" s="147">
        <f>-IF(AND(E$70&gt;Assumptions!$E$5,E$70&lt;=Assumptions!$F$5),'Sources&amp;Uses'!$G$21/ROUNDUP(Assumptions!$F$2/12,0),0)</f>
        <v>0</v>
      </c>
      <c r="F145" s="147">
        <f ca="1">-IF(AND(F$70&gt;Assumptions!$E$5,F$70&lt;=Assumptions!$F$5),'Sources&amp;Uses'!$G$21/ROUNDUP(Assumptions!$F$2/12,0),0)</f>
        <v>-9313988.7181176022</v>
      </c>
      <c r="G145" s="147">
        <f ca="1">-IF(AND(G$70&gt;Assumptions!$E$5,G$70&lt;=Assumptions!$F$5),'Sources&amp;Uses'!$G$21/ROUNDUP(Assumptions!$F$2/12,0),0)</f>
        <v>-9313988.7181176022</v>
      </c>
      <c r="H145" s="147">
        <f ca="1">-IF(AND(H$70&gt;Assumptions!$E$5,H$70&lt;=Assumptions!$F$5),'Sources&amp;Uses'!$G$21/ROUNDUP(Assumptions!$F$2/12,0),0)</f>
        <v>-9313988.7181176022</v>
      </c>
      <c r="I145" s="147">
        <f>-IF(AND(I$70&gt;Assumptions!$E$5,I$70&lt;=Assumptions!$F$5),'Sources&amp;Uses'!$G$21/ROUNDUP(Assumptions!$F$2/12,0),0)</f>
        <v>0</v>
      </c>
      <c r="J145" s="147">
        <f>-IF(AND(J$70&gt;Assumptions!$E$5,J$70&lt;=Assumptions!$F$5),'Sources&amp;Uses'!$G$21/ROUNDUP(Assumptions!$F$2/12,0),0)</f>
        <v>0</v>
      </c>
      <c r="K145" s="147">
        <f>-IF(AND(K$70&gt;Assumptions!$E$5,K$70&lt;=Assumptions!$F$5),'Sources&amp;Uses'!$G$21/ROUNDUP(Assumptions!$F$2/12,0),0)</f>
        <v>0</v>
      </c>
      <c r="L145" s="147">
        <f>-IF(AND(L$70&gt;Assumptions!$E$5,L$70&lt;=Assumptions!$F$5),'Sources&amp;Uses'!$G$21/ROUNDUP(Assumptions!$F$2/12,0),0)</f>
        <v>0</v>
      </c>
      <c r="M145" s="147">
        <f>-IF(AND(M$70&gt;Assumptions!$E$5,M$70&lt;=Assumptions!$F$5),'Sources&amp;Uses'!$G$21/ROUNDUP(Assumptions!$F$2/12,0),0)</f>
        <v>0</v>
      </c>
      <c r="N145" s="147">
        <f>-IF(AND(N$70&gt;Assumptions!$E$5,N$70&lt;=Assumptions!$F$5),'Sources&amp;Uses'!$G$21/ROUNDUP(Assumptions!$F$2/12,0),0)</f>
        <v>0</v>
      </c>
      <c r="O145" s="147">
        <f>-IF(AND(O$70&gt;Assumptions!$E$5,O$70&lt;=Assumptions!$F$5),'Sources&amp;Uses'!$G$21/ROUNDUP(Assumptions!$F$2/12,0),0)</f>
        <v>0</v>
      </c>
      <c r="P145" s="147">
        <f>-IF(AND(P$70&gt;Assumptions!$E$5,P$70&lt;=Assumptions!$F$5),'Sources&amp;Uses'!$G$21/ROUNDUP(Assumptions!$F$2/12,0),0)</f>
        <v>0</v>
      </c>
      <c r="Q145" s="147">
        <f>-IF(AND(Q$70&gt;Assumptions!$E$5,Q$70&lt;=Assumptions!$F$5),'Sources&amp;Uses'!$G$21/ROUNDUP(Assumptions!$F$2/12,0),0)</f>
        <v>0</v>
      </c>
      <c r="R145" s="147">
        <f>-IF(AND(R$70&gt;Assumptions!$E$5,R$70&lt;=Assumptions!$F$5),'Sources&amp;Uses'!$G$21/ROUNDUP(Assumptions!$F$2/12,0),0)</f>
        <v>0</v>
      </c>
    </row>
    <row r="146" spans="2:18">
      <c r="B146" s="123" t="s">
        <v>22</v>
      </c>
      <c r="C146" s="147">
        <f t="shared" si="122"/>
        <v>-333333.33333333331</v>
      </c>
      <c r="D146" s="147">
        <f>-IF(AND(D$70&gt;Assumptions!$E$5,D$70&lt;=Assumptions!$F$5),'Sources&amp;Uses'!$G$22/ROUNDUP(Assumptions!$F$2/12,0),0)</f>
        <v>0</v>
      </c>
      <c r="E146" s="147">
        <f>-IF(AND(E$70&gt;Assumptions!$E$5,E$70&lt;=Assumptions!$F$5),'Sources&amp;Uses'!$G$22/ROUNDUP(Assumptions!$F$2/12,0),0)</f>
        <v>0</v>
      </c>
      <c r="F146" s="147">
        <f>-IF(AND(F$70&gt;Assumptions!$E$5,F$70&lt;=Assumptions!$F$5),'Sources&amp;Uses'!$G$22/ROUNDUP(Assumptions!$F$2/12,0),0)</f>
        <v>-111111.11111111111</v>
      </c>
      <c r="G146" s="147">
        <f>-IF(AND(G$70&gt;Assumptions!$E$5,G$70&lt;=Assumptions!$F$5),'Sources&amp;Uses'!$G$22/ROUNDUP(Assumptions!$F$2/12,0),0)</f>
        <v>-111111.11111111111</v>
      </c>
      <c r="H146" s="147">
        <f>-IF(AND(H$70&gt;Assumptions!$E$5,H$70&lt;=Assumptions!$F$5),'Sources&amp;Uses'!$G$22/ROUNDUP(Assumptions!$F$2/12,0),0)</f>
        <v>-111111.11111111111</v>
      </c>
      <c r="I146" s="147">
        <f>-IF(AND(I$70&gt;Assumptions!$E$5,I$70&lt;=Assumptions!$F$5),'Sources&amp;Uses'!$G$22/ROUNDUP(Assumptions!$F$2/12,0),0)</f>
        <v>0</v>
      </c>
      <c r="J146" s="147">
        <f>-IF(AND(J$70&gt;Assumptions!$E$5,J$70&lt;=Assumptions!$F$5),'Sources&amp;Uses'!$G$22/ROUNDUP(Assumptions!$F$2/12,0),0)</f>
        <v>0</v>
      </c>
      <c r="K146" s="147">
        <f>-IF(AND(K$70&gt;Assumptions!$E$5,K$70&lt;=Assumptions!$F$5),'Sources&amp;Uses'!$G$22/ROUNDUP(Assumptions!$F$2/12,0),0)</f>
        <v>0</v>
      </c>
      <c r="L146" s="147">
        <f>-IF(AND(L$70&gt;Assumptions!$E$5,L$70&lt;=Assumptions!$F$5),'Sources&amp;Uses'!$G$22/ROUNDUP(Assumptions!$F$2/12,0),0)</f>
        <v>0</v>
      </c>
      <c r="M146" s="147">
        <f>-IF(AND(M$70&gt;Assumptions!$E$5,M$70&lt;=Assumptions!$F$5),'Sources&amp;Uses'!$G$22/ROUNDUP(Assumptions!$F$2/12,0),0)</f>
        <v>0</v>
      </c>
      <c r="N146" s="147">
        <f>-IF(AND(N$70&gt;Assumptions!$E$5,N$70&lt;=Assumptions!$F$5),'Sources&amp;Uses'!$G$22/ROUNDUP(Assumptions!$F$2/12,0),0)</f>
        <v>0</v>
      </c>
      <c r="O146" s="147">
        <f>-IF(AND(O$70&gt;Assumptions!$E$5,O$70&lt;=Assumptions!$F$5),'Sources&amp;Uses'!$G$22/ROUNDUP(Assumptions!$F$2/12,0),0)</f>
        <v>0</v>
      </c>
      <c r="P146" s="147">
        <f>-IF(AND(P$70&gt;Assumptions!$E$5,P$70&lt;=Assumptions!$F$5),'Sources&amp;Uses'!$G$22/ROUNDUP(Assumptions!$F$2/12,0),0)</f>
        <v>0</v>
      </c>
      <c r="Q146" s="147">
        <f>-IF(AND(Q$70&gt;Assumptions!$E$5,Q$70&lt;=Assumptions!$F$5),'Sources&amp;Uses'!$G$22/ROUNDUP(Assumptions!$F$2/12,0),0)</f>
        <v>0</v>
      </c>
      <c r="R146" s="147">
        <f>-IF(AND(R$70&gt;Assumptions!$E$5,R$70&lt;=Assumptions!$F$5),'Sources&amp;Uses'!$G$22/ROUNDUP(Assumptions!$F$2/12,0),0)</f>
        <v>0</v>
      </c>
    </row>
    <row r="147" spans="2:18">
      <c r="B147" s="123" t="s">
        <v>238</v>
      </c>
      <c r="C147" s="147">
        <f t="shared" ca="1" si="122"/>
        <v>-12868673.082512554</v>
      </c>
      <c r="D147" s="147">
        <f>-IF(AND(D$70&gt;Assumptions!$E$5,D$70&lt;=Assumptions!$F$5),'Sources&amp;Uses'!$G$23/ROUNDUP(Assumptions!$F$2/12,0),0)</f>
        <v>0</v>
      </c>
      <c r="E147" s="147">
        <f>-IF(AND(E$70&gt;Assumptions!$E$5,E$70&lt;=Assumptions!$F$5),'Sources&amp;Uses'!$G$23/ROUNDUP(Assumptions!$F$2/12,0),0)</f>
        <v>0</v>
      </c>
      <c r="F147" s="147">
        <f ca="1">-IF(AND(F$70&gt;Assumptions!$E$5,F$70&lt;=Assumptions!$F$5),'Sources&amp;Uses'!$G$23/ROUNDUP(Assumptions!$F$2/12,0),0)</f>
        <v>-4289557.6941708513</v>
      </c>
      <c r="G147" s="147">
        <f ca="1">-IF(AND(G$70&gt;Assumptions!$E$5,G$70&lt;=Assumptions!$F$5),'Sources&amp;Uses'!$G$23/ROUNDUP(Assumptions!$F$2/12,0),0)</f>
        <v>-4289557.6941708513</v>
      </c>
      <c r="H147" s="147">
        <f ca="1">-IF(AND(H$70&gt;Assumptions!$E$5,H$70&lt;=Assumptions!$F$5),'Sources&amp;Uses'!$G$23/ROUNDUP(Assumptions!$F$2/12,0),0)</f>
        <v>-4289557.6941708513</v>
      </c>
      <c r="I147" s="147">
        <f>-IF(AND(I$70&gt;Assumptions!$E$5,I$70&lt;=Assumptions!$F$5),'Sources&amp;Uses'!$G$23/ROUNDUP(Assumptions!$F$2/12,0),0)</f>
        <v>0</v>
      </c>
      <c r="J147" s="147">
        <f>-IF(AND(J$70&gt;Assumptions!$E$5,J$70&lt;=Assumptions!$F$5),'Sources&amp;Uses'!$G$23/ROUNDUP(Assumptions!$F$2/12,0),0)</f>
        <v>0</v>
      </c>
      <c r="K147" s="147">
        <f>-IF(AND(K$70&gt;Assumptions!$E$5,K$70&lt;=Assumptions!$F$5),'Sources&amp;Uses'!$G$23/ROUNDUP(Assumptions!$F$2/12,0),0)</f>
        <v>0</v>
      </c>
      <c r="L147" s="147">
        <f>-IF(AND(L$70&gt;Assumptions!$E$5,L$70&lt;=Assumptions!$F$5),'Sources&amp;Uses'!$G$23/ROUNDUP(Assumptions!$F$2/12,0),0)</f>
        <v>0</v>
      </c>
      <c r="M147" s="147">
        <f>-IF(AND(M$70&gt;Assumptions!$E$5,M$70&lt;=Assumptions!$F$5),'Sources&amp;Uses'!$G$23/ROUNDUP(Assumptions!$F$2/12,0),0)</f>
        <v>0</v>
      </c>
      <c r="N147" s="147">
        <f>-IF(AND(N$70&gt;Assumptions!$E$5,N$70&lt;=Assumptions!$F$5),'Sources&amp;Uses'!$G$23/ROUNDUP(Assumptions!$F$2/12,0),0)</f>
        <v>0</v>
      </c>
      <c r="O147" s="147">
        <f>-IF(AND(O$70&gt;Assumptions!$E$5,O$70&lt;=Assumptions!$F$5),'Sources&amp;Uses'!$G$23/ROUNDUP(Assumptions!$F$2/12,0),0)</f>
        <v>0</v>
      </c>
      <c r="P147" s="147">
        <f>-IF(AND(P$70&gt;Assumptions!$E$5,P$70&lt;=Assumptions!$F$5),'Sources&amp;Uses'!$G$23/ROUNDUP(Assumptions!$F$2/12,0),0)</f>
        <v>0</v>
      </c>
      <c r="Q147" s="147">
        <f>-IF(AND(Q$70&gt;Assumptions!$E$5,Q$70&lt;=Assumptions!$F$5),'Sources&amp;Uses'!$G$23/ROUNDUP(Assumptions!$F$2/12,0),0)</f>
        <v>0</v>
      </c>
      <c r="R147" s="147">
        <f>-IF(AND(R$70&gt;Assumptions!$E$5,R$70&lt;=Assumptions!$F$5),'Sources&amp;Uses'!$G$23/ROUNDUP(Assumptions!$F$2/12,0),0)</f>
        <v>0</v>
      </c>
    </row>
    <row r="148" spans="2:18">
      <c r="B148" s="125" t="s">
        <v>58</v>
      </c>
      <c r="C148" s="147">
        <f t="shared" ca="1" si="122"/>
        <v>-487731310.65395051</v>
      </c>
      <c r="D148" s="147">
        <f>SUM(D141:D147)</f>
        <v>0</v>
      </c>
      <c r="E148" s="147">
        <f t="shared" ref="E148:N148" si="123">SUM(E141:E147)</f>
        <v>-17964902</v>
      </c>
      <c r="F148" s="147">
        <f t="shared" ca="1" si="123"/>
        <v>-156588802.88465017</v>
      </c>
      <c r="G148" s="147">
        <f t="shared" ca="1" si="123"/>
        <v>-156588802.88465017</v>
      </c>
      <c r="H148" s="147">
        <f t="shared" ca="1" si="123"/>
        <v>-156588802.88465017</v>
      </c>
      <c r="I148" s="147">
        <f t="shared" si="123"/>
        <v>0</v>
      </c>
      <c r="J148" s="147">
        <f t="shared" si="123"/>
        <v>0</v>
      </c>
      <c r="K148" s="147">
        <f t="shared" si="123"/>
        <v>0</v>
      </c>
      <c r="L148" s="147">
        <f t="shared" si="123"/>
        <v>0</v>
      </c>
      <c r="M148" s="147">
        <f t="shared" si="123"/>
        <v>0</v>
      </c>
      <c r="N148" s="147">
        <f t="shared" si="123"/>
        <v>0</v>
      </c>
      <c r="O148" s="147">
        <f t="shared" ref="O148" si="124">SUM(O141:O147)</f>
        <v>0</v>
      </c>
      <c r="P148" s="147">
        <f t="shared" ref="P148" si="125">SUM(P141:P147)</f>
        <v>0</v>
      </c>
      <c r="Q148" s="147">
        <f t="shared" ref="Q148" si="126">SUM(Q141:Q147)</f>
        <v>0</v>
      </c>
      <c r="R148" s="147">
        <f t="shared" ref="R148" si="127">SUM(R141:R147)</f>
        <v>0</v>
      </c>
    </row>
    <row r="149" spans="2:18">
      <c r="B149" s="125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</row>
    <row r="150" spans="2:18" ht="18">
      <c r="B150" s="302" t="s">
        <v>439</v>
      </c>
      <c r="C150" s="280"/>
      <c r="D150" s="285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86"/>
      <c r="R150" s="286"/>
    </row>
    <row r="151" spans="2:18">
      <c r="B151" s="123" t="str">
        <f>'Sources&amp;Uses'!$C$3</f>
        <v>Equity</v>
      </c>
      <c r="C151" s="147">
        <f ca="1">SUM(D151:N151)</f>
        <v>65426851.301104486</v>
      </c>
      <c r="D151" s="147">
        <f ca="1">MIN('Sources&amp;Uses'!$G$3,-'Phase II Pro Forma'!D148)</f>
        <v>0</v>
      </c>
      <c r="E151" s="147">
        <f ca="1">MIN('Sources&amp;Uses'!$G$3-SUM($D$151:D151),-'Phase II Pro Forma'!E148)</f>
        <v>17964902</v>
      </c>
      <c r="F151" s="147">
        <f ca="1">MIN('Sources&amp;Uses'!$G$3-SUM($D$151:E151),-'Phase II Pro Forma'!F148)</f>
        <v>47461949.301104486</v>
      </c>
      <c r="G151" s="147">
        <f ca="1">MIN('Sources&amp;Uses'!$G$3-SUM($D$151:F151),-'Phase II Pro Forma'!G148)</f>
        <v>0</v>
      </c>
      <c r="H151" s="147">
        <f ca="1">MIN('Sources&amp;Uses'!$G$3-SUM($D$151:G151),-'Phase II Pro Forma'!H148)</f>
        <v>0</v>
      </c>
      <c r="I151" s="147">
        <f ca="1">MIN('Sources&amp;Uses'!$G$3-SUM($D$151:H151),-'Phase II Pro Forma'!I148)</f>
        <v>0</v>
      </c>
      <c r="J151" s="147">
        <f ca="1">MIN('Sources&amp;Uses'!$G$3-SUM($D$151:I151),-'Phase II Pro Forma'!J148)</f>
        <v>0</v>
      </c>
      <c r="K151" s="147">
        <f ca="1">MIN('Sources&amp;Uses'!$G$3-SUM($D$151:J151),-'Phase II Pro Forma'!K148)</f>
        <v>0</v>
      </c>
      <c r="L151" s="147">
        <f ca="1">MIN('Sources&amp;Uses'!$G$3-SUM($D$151:K151),-'Phase II Pro Forma'!L148)</f>
        <v>0</v>
      </c>
      <c r="M151" s="147">
        <f ca="1">MIN('Sources&amp;Uses'!$G$3-SUM($D$151:L151),-'Phase II Pro Forma'!M148)</f>
        <v>0</v>
      </c>
      <c r="N151" s="147">
        <f ca="1">MIN('Sources&amp;Uses'!$G$3-SUM($D$151:M151),-'Phase II Pro Forma'!N148)</f>
        <v>0</v>
      </c>
      <c r="O151" s="147">
        <f ca="1">MIN('Sources&amp;Uses'!$G$3-SUM($D$151:N151),-'Phase II Pro Forma'!O148)</f>
        <v>0</v>
      </c>
      <c r="P151" s="147">
        <f ca="1">MIN('Sources&amp;Uses'!$G$3-SUM($D$151:O151),-'Phase II Pro Forma'!P148)</f>
        <v>0</v>
      </c>
      <c r="Q151" s="147">
        <f ca="1">MIN('Sources&amp;Uses'!$G$3-SUM($D$151:P151),-'Phase II Pro Forma'!Q148)</f>
        <v>0</v>
      </c>
      <c r="R151" s="147">
        <f ca="1">MIN('Sources&amp;Uses'!$G$3-SUM($D$151:Q151),-'Phase II Pro Forma'!R148)</f>
        <v>0</v>
      </c>
    </row>
    <row r="152" spans="2:18">
      <c r="B152" s="123" t="str">
        <f>'Sources&amp;Uses'!$C$4</f>
        <v>PPP - City of Oakland/Alameda County</v>
      </c>
      <c r="C152" s="147">
        <f ca="1">SUM(D152:N152)</f>
        <v>6370499.0249999994</v>
      </c>
      <c r="D152" s="147">
        <f ca="1">MIN('Sources&amp;Uses'!$G$4,-'Phase II Pro Forma'!D$148-SUM('Phase II Pro Forma'!D$151:'Phase II Pro Forma'!D151))</f>
        <v>0</v>
      </c>
      <c r="E152" s="147">
        <f ca="1">MIN('Sources&amp;Uses'!$G$4-SUM($D$152:D$152),-'Phase II Pro Forma'!E$148-SUM(E$151:E151))</f>
        <v>0</v>
      </c>
      <c r="F152" s="147">
        <f ca="1">MIN('Sources&amp;Uses'!$G$4-SUM($D$152:E$152),-'Phase II Pro Forma'!F$148-SUM(F$151:F151))</f>
        <v>6370499.0249999994</v>
      </c>
      <c r="G152" s="147">
        <f ca="1">MIN('Sources&amp;Uses'!$G$4-SUM($D$152:F$152),-'Phase II Pro Forma'!G$148-SUM(G$151:G151))</f>
        <v>0</v>
      </c>
      <c r="H152" s="147">
        <f ca="1">MIN('Sources&amp;Uses'!$G$4-SUM($D$152:G$152),-'Phase II Pro Forma'!H$148-SUM(H$151:H151))</f>
        <v>0</v>
      </c>
      <c r="I152" s="147">
        <f ca="1">MIN('Sources&amp;Uses'!$G$4-SUM($D$152:H$152),-'Phase II Pro Forma'!I$148-SUM(I$151:I151))</f>
        <v>0</v>
      </c>
      <c r="J152" s="147">
        <f ca="1">MIN('Sources&amp;Uses'!$G$4-SUM($D$152:I$152),-'Phase II Pro Forma'!J$148-SUM(J$151:J151))</f>
        <v>0</v>
      </c>
      <c r="K152" s="147">
        <f ca="1">MIN('Sources&amp;Uses'!$G$4-SUM($D$152:J$152),-'Phase II Pro Forma'!K$148-SUM(K$151:K151))</f>
        <v>0</v>
      </c>
      <c r="L152" s="147">
        <f ca="1">MIN('Sources&amp;Uses'!$G$4-SUM($D$152:K$152),-'Phase II Pro Forma'!L$148-SUM(L$151:L151))</f>
        <v>0</v>
      </c>
      <c r="M152" s="147">
        <f ca="1">MIN('Sources&amp;Uses'!$G$4-SUM($D$152:L$152),-'Phase II Pro Forma'!M$148-SUM(M$151:M151))</f>
        <v>0</v>
      </c>
      <c r="N152" s="147">
        <f ca="1">MIN('Sources&amp;Uses'!$G$4-SUM($D$152:M$152),-'Phase II Pro Forma'!N$148-SUM(N$151:N151))</f>
        <v>0</v>
      </c>
      <c r="O152" s="147">
        <f ca="1">MIN('Sources&amp;Uses'!$G$4-SUM($D$152:N$152),-'Phase II Pro Forma'!O$148-SUM(O$151:O151))</f>
        <v>0</v>
      </c>
      <c r="P152" s="147">
        <f ca="1">MIN('Sources&amp;Uses'!$G$4-SUM($D$152:O$152),-'Phase II Pro Forma'!P$148-SUM(P$151:P151))</f>
        <v>0</v>
      </c>
      <c r="Q152" s="147">
        <f ca="1">MIN('Sources&amp;Uses'!$G$4-SUM($D$152:P$152),-'Phase II Pro Forma'!Q$148-SUM(Q$151:Q151))</f>
        <v>0</v>
      </c>
      <c r="R152" s="147">
        <f ca="1">MIN('Sources&amp;Uses'!$G$4-SUM($D$152:Q$152),-'Phase II Pro Forma'!R$148-SUM(R$151:R151))</f>
        <v>0</v>
      </c>
    </row>
    <row r="153" spans="2:18">
      <c r="B153" s="123" t="str">
        <f>'Sources&amp;Uses'!$C$5</f>
        <v>PPP - Private Partners</v>
      </c>
      <c r="C153" s="147">
        <f ca="1">SUM(D153:N153)</f>
        <v>3295250.6124999998</v>
      </c>
      <c r="D153" s="147">
        <f ca="1">MIN('Sources&amp;Uses'!$G$5,-'Phase II Pro Forma'!D$148-SUM('Phase II Pro Forma'!D$151:'Phase II Pro Forma'!D152))</f>
        <v>0</v>
      </c>
      <c r="E153" s="147">
        <f ca="1">MIN('Sources&amp;Uses'!$G$5-SUM($D$153:D$153),-'Phase II Pro Forma'!E$148-SUM(E$151:E152))</f>
        <v>0</v>
      </c>
      <c r="F153" s="147">
        <f ca="1">MIN('Sources&amp;Uses'!$G$5-SUM($D$153:E$153),-'Phase II Pro Forma'!F$148-SUM(F$151:F152))</f>
        <v>3295250.6124999998</v>
      </c>
      <c r="G153" s="147">
        <f ca="1">MIN('Sources&amp;Uses'!$G$5-SUM($D$153:F$153),-'Phase II Pro Forma'!G$148-SUM(G$151:G152))</f>
        <v>0</v>
      </c>
      <c r="H153" s="147">
        <f ca="1">MIN('Sources&amp;Uses'!$G$5-SUM($D$153:G$153),-'Phase II Pro Forma'!H$148-SUM(H$151:H152))</f>
        <v>0</v>
      </c>
      <c r="I153" s="147">
        <f ca="1">MIN('Sources&amp;Uses'!$G$5-SUM($D$153:H$153),-'Phase II Pro Forma'!I$148-SUM(I$151:I152))</f>
        <v>0</v>
      </c>
      <c r="J153" s="147">
        <f ca="1">MIN('Sources&amp;Uses'!$G$5-SUM($D$153:I$153),-'Phase II Pro Forma'!J$148-SUM(J$151:J152))</f>
        <v>0</v>
      </c>
      <c r="K153" s="147">
        <f ca="1">MIN('Sources&amp;Uses'!$G$5-SUM($D$153:J$153),-'Phase II Pro Forma'!K$148-SUM(K$151:K152))</f>
        <v>0</v>
      </c>
      <c r="L153" s="147">
        <f ca="1">MIN('Sources&amp;Uses'!$G$5-SUM($D$153:K$153),-'Phase II Pro Forma'!L$148-SUM(L$151:L152))</f>
        <v>0</v>
      </c>
      <c r="M153" s="147">
        <f ca="1">MIN('Sources&amp;Uses'!$G$5-SUM($D$153:L$153),-'Phase II Pro Forma'!M$148-SUM(M$151:M152))</f>
        <v>0</v>
      </c>
      <c r="N153" s="147">
        <f ca="1">MIN('Sources&amp;Uses'!$G$5-SUM($D$153:M$153),-'Phase II Pro Forma'!N$148-SUM(N$151:N152))</f>
        <v>0</v>
      </c>
      <c r="O153" s="147">
        <f ca="1">MIN('Sources&amp;Uses'!$G$5-SUM($D$153:N$153),-'Phase II Pro Forma'!O$148-SUM(O$151:O152))</f>
        <v>0</v>
      </c>
      <c r="P153" s="147">
        <f ca="1">MIN('Sources&amp;Uses'!$G$5-SUM($D$153:O$153),-'Phase II Pro Forma'!P$148-SUM(P$151:P152))</f>
        <v>0</v>
      </c>
      <c r="Q153" s="147">
        <f ca="1">MIN('Sources&amp;Uses'!$G$5-SUM($D$153:P$153),-'Phase II Pro Forma'!Q$148-SUM(Q$151:Q152))</f>
        <v>0</v>
      </c>
      <c r="R153" s="147">
        <f ca="1">MIN('Sources&amp;Uses'!$G$5-SUM($D$153:Q$153),-'Phase II Pro Forma'!R$148-SUM(R$151:R152))</f>
        <v>0</v>
      </c>
    </row>
    <row r="154" spans="2:18">
      <c r="B154" s="123" t="str">
        <f>'Sources&amp;Uses'!$C$6</f>
        <v xml:space="preserve">LIHTC </v>
      </c>
      <c r="C154" s="147">
        <f ca="1">SUM(D154:N154)</f>
        <v>69062655.332151011</v>
      </c>
      <c r="D154" s="147">
        <f ca="1">MIN('Sources&amp;Uses'!$G$6,-'Phase II Pro Forma'!D$148-SUM(D151:D153))</f>
        <v>0</v>
      </c>
      <c r="E154" s="147">
        <f ca="1">MIN('Sources&amp;Uses'!$G$6-SUM($D$154:D$154),-'Phase II Pro Forma'!E$148-SUM(E151:E153))</f>
        <v>0</v>
      </c>
      <c r="F154" s="147">
        <f ca="1">MIN('Sources&amp;Uses'!$G$6-SUM($D$154:E$154),-'Phase II Pro Forma'!F$148-SUM(F151:F153))</f>
        <v>69062655.332151011</v>
      </c>
      <c r="G154" s="147">
        <f ca="1">MIN('Sources&amp;Uses'!$G$6-SUM($D$154:F$154),-'Phase II Pro Forma'!G$148-SUM(G151:G153))</f>
        <v>0</v>
      </c>
      <c r="H154" s="147">
        <f ca="1">MIN('Sources&amp;Uses'!$G$6-SUM($D$154:G$154),-'Phase II Pro Forma'!H$148-SUM(H151:H153))</f>
        <v>0</v>
      </c>
      <c r="I154" s="147">
        <f ca="1">MIN('Sources&amp;Uses'!$G$6-SUM($D$154:H$154),-'Phase II Pro Forma'!I$148-SUM(I151:I153))</f>
        <v>0</v>
      </c>
      <c r="J154" s="147">
        <f ca="1">MIN('Sources&amp;Uses'!$G$6-SUM($D$154:I$154),-'Phase II Pro Forma'!J$148-SUM(J151:J153))</f>
        <v>0</v>
      </c>
      <c r="K154" s="147">
        <f ca="1">MIN('Sources&amp;Uses'!$G$6-SUM($D$154:J$154),-'Phase II Pro Forma'!K$148-SUM(K151:K153))</f>
        <v>0</v>
      </c>
      <c r="L154" s="147">
        <f ca="1">MIN('Sources&amp;Uses'!$G$6-SUM($D$154:K$154),-'Phase II Pro Forma'!L$148-SUM(L151:L153))</f>
        <v>0</v>
      </c>
      <c r="M154" s="147">
        <f ca="1">MIN('Sources&amp;Uses'!$G$6-SUM($D$154:L$154),-'Phase II Pro Forma'!M$148-SUM(M151:M153))</f>
        <v>0</v>
      </c>
      <c r="N154" s="147">
        <f ca="1">MIN('Sources&amp;Uses'!$G$6-SUM($D$154:M$154),-'Phase II Pro Forma'!N$148-SUM(N151:N153))</f>
        <v>0</v>
      </c>
      <c r="O154" s="147">
        <f ca="1">MIN('Sources&amp;Uses'!$G$6-SUM($D$154:N$154),-'Phase II Pro Forma'!O$148-SUM(O151:O153))</f>
        <v>0</v>
      </c>
      <c r="P154" s="147">
        <f ca="1">MIN('Sources&amp;Uses'!$G$6-SUM($D$154:O$154),-'Phase II Pro Forma'!P$148-SUM(P151:P153))</f>
        <v>0</v>
      </c>
      <c r="Q154" s="147">
        <f ca="1">MIN('Sources&amp;Uses'!$G$6-SUM($D$154:P$154),-'Phase II Pro Forma'!Q$148-SUM(Q151:Q153))</f>
        <v>0</v>
      </c>
      <c r="R154" s="147">
        <f ca="1">MIN('Sources&amp;Uses'!$G$6-SUM($D$154:Q$154),-'Phase II Pro Forma'!R$148-SUM(R151:R153))</f>
        <v>0</v>
      </c>
    </row>
    <row r="155" spans="2:18">
      <c r="B155" s="123" t="str">
        <f>'Sources&amp;Uses'!$C$8</f>
        <v>CA TOD Housing Program (Infrastructure Grant)</v>
      </c>
      <c r="C155" s="147">
        <f ca="1">SUM(D155:N155)</f>
        <v>2500000</v>
      </c>
      <c r="D155" s="147">
        <f ca="1">MIN('Sources&amp;Uses'!$G$8,-'Phase II Pro Forma'!D$148-SUM(D151:D154))</f>
        <v>0</v>
      </c>
      <c r="E155" s="147">
        <f ca="1">MIN('Sources&amp;Uses'!$G$8-SUM($D$155:D155),-'Phase II Pro Forma'!E$148-SUM(E151:E154))</f>
        <v>0</v>
      </c>
      <c r="F155" s="147">
        <f ca="1">MIN('Sources&amp;Uses'!$G$8-SUM($D$155:E155),-'Phase II Pro Forma'!F$148-SUM(F151:F154))</f>
        <v>2500000</v>
      </c>
      <c r="G155" s="147">
        <f ca="1">MIN('Sources&amp;Uses'!$G$8-SUM($D$155:F155),-'Phase II Pro Forma'!G$148-SUM(G151:G154))</f>
        <v>0</v>
      </c>
      <c r="H155" s="147">
        <f ca="1">MIN('Sources&amp;Uses'!$G$8-SUM($D$155:G155),-'Phase II Pro Forma'!H$148-SUM(H151:H154))</f>
        <v>0</v>
      </c>
      <c r="I155" s="147">
        <f ca="1">MIN('Sources&amp;Uses'!$G$8-SUM($D$155:H155),-'Phase II Pro Forma'!I$148-SUM(I151:I154))</f>
        <v>0</v>
      </c>
      <c r="J155" s="147">
        <f ca="1">MIN('Sources&amp;Uses'!$G$8-SUM($D$155:I155),-'Phase II Pro Forma'!J$148-SUM(J151:J154))</f>
        <v>0</v>
      </c>
      <c r="K155" s="147">
        <f ca="1">MIN('Sources&amp;Uses'!$G$8-SUM($D$155:J155),-'Phase II Pro Forma'!K$148-SUM(K151:K154))</f>
        <v>0</v>
      </c>
      <c r="L155" s="147">
        <f ca="1">MIN('Sources&amp;Uses'!$G$8-SUM($D$155:K155),-'Phase II Pro Forma'!L$148-SUM(L151:L154))</f>
        <v>0</v>
      </c>
      <c r="M155" s="147">
        <f ca="1">MIN('Sources&amp;Uses'!$G$8-SUM($D$155:L155),-'Phase II Pro Forma'!M$148-SUM(M151:M154))</f>
        <v>0</v>
      </c>
      <c r="N155" s="147">
        <f ca="1">MIN('Sources&amp;Uses'!$G$8-SUM($D$155:M155),-'Phase II Pro Forma'!N$148-SUM(N151:N154))</f>
        <v>0</v>
      </c>
      <c r="O155" s="147">
        <f ca="1">MIN('Sources&amp;Uses'!$G$8-SUM($D$155:N155),-'Phase II Pro Forma'!O$148-SUM(O151:O154))</f>
        <v>0</v>
      </c>
      <c r="P155" s="147">
        <f ca="1">MIN('Sources&amp;Uses'!$G$8-SUM($D$155:O155),-'Phase II Pro Forma'!P$148-SUM(P151:P154))</f>
        <v>0</v>
      </c>
      <c r="Q155" s="147">
        <f ca="1">MIN('Sources&amp;Uses'!$G$8-SUM($D$155:P155),-'Phase II Pro Forma'!Q$148-SUM(Q151:Q154))</f>
        <v>0</v>
      </c>
      <c r="R155" s="147">
        <f ca="1">MIN('Sources&amp;Uses'!$G$8-SUM($D$155:Q155),-'Phase II Pro Forma'!R$148-SUM(R151:R154))</f>
        <v>0</v>
      </c>
    </row>
    <row r="156" spans="2:18">
      <c r="B156" s="123">
        <f>'Sources&amp;Uses'!$C$9</f>
        <v>0</v>
      </c>
      <c r="C156" s="147">
        <f ca="1">SUM(D156:N156)</f>
        <v>0</v>
      </c>
      <c r="D156" s="147">
        <f ca="1">MIN('Sources&amp;Uses'!$G$9,-'Phase II Pro Forma'!D$148-SUM(D151:D154))</f>
        <v>0</v>
      </c>
      <c r="E156" s="147">
        <f ca="1">MIN('Sources&amp;Uses'!$G$9-SUM($D$156:D156),-'Phase II Pro Forma'!E$148-SUM(E151:E155))</f>
        <v>0</v>
      </c>
      <c r="F156" s="147">
        <f ca="1">MIN('Sources&amp;Uses'!$G$9-SUM($D$156:E156),-'Phase II Pro Forma'!F$148-SUM(F151:F155))</f>
        <v>0</v>
      </c>
      <c r="G156" s="147">
        <f ca="1">MIN('Sources&amp;Uses'!$G$9-SUM($D$156:F156),-'Phase II Pro Forma'!G$148-SUM(G151:G155))</f>
        <v>0</v>
      </c>
      <c r="H156" s="147">
        <f ca="1">MIN('Sources&amp;Uses'!$G$9-SUM($D$156:G156),-'Phase II Pro Forma'!H$148-SUM(H151:H155))</f>
        <v>0</v>
      </c>
      <c r="I156" s="147">
        <f ca="1">MIN('Sources&amp;Uses'!$G$9-SUM($D$156:H156),-'Phase II Pro Forma'!I$148-SUM(I151:I155))</f>
        <v>0</v>
      </c>
      <c r="J156" s="147">
        <f ca="1">MIN('Sources&amp;Uses'!$G$9-SUM($D$156:I156),-'Phase II Pro Forma'!J$148-SUM(J151:J155))</f>
        <v>0</v>
      </c>
      <c r="K156" s="147">
        <f ca="1">MIN('Sources&amp;Uses'!$G$9-SUM($D$156:J156),-'Phase II Pro Forma'!K$148-SUM(K151:K155))</f>
        <v>0</v>
      </c>
      <c r="L156" s="147">
        <f ca="1">MIN('Sources&amp;Uses'!$G$9-SUM($D$156:K156),-'Phase II Pro Forma'!L$148-SUM(L151:L155))</f>
        <v>0</v>
      </c>
      <c r="M156" s="147">
        <f ca="1">MIN('Sources&amp;Uses'!$G$9-SUM($D$156:L156),-'Phase II Pro Forma'!M$148-SUM(M151:M155))</f>
        <v>0</v>
      </c>
      <c r="N156" s="147">
        <f ca="1">MIN('Sources&amp;Uses'!$G$9-SUM($D$156:M156),-'Phase II Pro Forma'!N$148-SUM(N151:N155))</f>
        <v>0</v>
      </c>
      <c r="O156" s="147">
        <f ca="1">MIN('Sources&amp;Uses'!$G$9-SUM($D$156:N156),-'Phase II Pro Forma'!O$148-SUM(O151:O155))</f>
        <v>0</v>
      </c>
      <c r="P156" s="147">
        <f ca="1">MIN('Sources&amp;Uses'!$G$9-SUM($D$156:O156),-'Phase II Pro Forma'!P$148-SUM(P151:P155))</f>
        <v>0</v>
      </c>
      <c r="Q156" s="147">
        <f ca="1">MIN('Sources&amp;Uses'!$G$9-SUM($D$156:P156),-'Phase II Pro Forma'!Q$148-SUM(Q151:Q155))</f>
        <v>0</v>
      </c>
      <c r="R156" s="147">
        <f ca="1">MIN('Sources&amp;Uses'!$G$9-SUM($D$156:Q156),-'Phase II Pro Forma'!R$148-SUM(R151:R155))</f>
        <v>0</v>
      </c>
    </row>
    <row r="157" spans="2:18">
      <c r="B157" s="123" t="str">
        <f>'Sources&amp;Uses'!$C$10</f>
        <v>CA Strategic Growth Council (Aff Housing and Sustainable Communities)</v>
      </c>
      <c r="C157" s="147">
        <f ca="1">SUM(D157:N157)</f>
        <v>0</v>
      </c>
      <c r="D157" s="147">
        <f ca="1">MIN('Sources&amp;Uses'!$G$10,-'Phase II Pro Forma'!D$148-SUM(D151:D156))</f>
        <v>0</v>
      </c>
      <c r="E157" s="147">
        <f ca="1">MIN('Sources&amp;Uses'!$G$10-SUM($D$157:D157),-'Phase II Pro Forma'!E$148-SUM(E151:E156))</f>
        <v>0</v>
      </c>
      <c r="F157" s="147">
        <f ca="1">MIN('Sources&amp;Uses'!$G$10-SUM($D$157:E157),-'Phase II Pro Forma'!F$148-SUM(F151:F156))</f>
        <v>0</v>
      </c>
      <c r="G157" s="147">
        <f ca="1">MIN('Sources&amp;Uses'!$G$10-SUM($D$157:F157),-'Phase II Pro Forma'!G$148-SUM(G151:G156))</f>
        <v>0</v>
      </c>
      <c r="H157" s="147">
        <f ca="1">MIN('Sources&amp;Uses'!$G$10-SUM($D$157:G157),-'Phase II Pro Forma'!H$148-SUM(H151:H156))</f>
        <v>0</v>
      </c>
      <c r="I157" s="147">
        <f ca="1">MIN('Sources&amp;Uses'!$G$10-SUM($D$157:H157),-'Phase II Pro Forma'!I$148-SUM(I151:I156))</f>
        <v>0</v>
      </c>
      <c r="J157" s="147">
        <f ca="1">MIN('Sources&amp;Uses'!$G$10-SUM($D$157:I157),-'Phase II Pro Forma'!J$148-SUM(J151:J156))</f>
        <v>0</v>
      </c>
      <c r="K157" s="147">
        <f ca="1">MIN('Sources&amp;Uses'!$G$10-SUM($D$157:J157),-'Phase II Pro Forma'!K$148-SUM(K151:K156))</f>
        <v>0</v>
      </c>
      <c r="L157" s="147">
        <f ca="1">MIN('Sources&amp;Uses'!$G$10-SUM($D$157:K157),-'Phase II Pro Forma'!L$148-SUM(L151:L156))</f>
        <v>0</v>
      </c>
      <c r="M157" s="147">
        <f ca="1">MIN('Sources&amp;Uses'!$G$10-SUM($D$157:L157),-'Phase II Pro Forma'!M$148-SUM(M151:M156))</f>
        <v>0</v>
      </c>
      <c r="N157" s="147">
        <f ca="1">MIN('Sources&amp;Uses'!$G$10-SUM($D$157:M157),-'Phase II Pro Forma'!N$148-SUM(N151:N156))</f>
        <v>0</v>
      </c>
      <c r="O157" s="147">
        <f ca="1">MIN('Sources&amp;Uses'!$G$10-SUM($D$157:N157),-'Phase II Pro Forma'!O$148-SUM(O151:O156))</f>
        <v>0</v>
      </c>
      <c r="P157" s="147">
        <f ca="1">MIN('Sources&amp;Uses'!$G$10-SUM($D$157:O157),-'Phase II Pro Forma'!P$148-SUM(P151:P156))</f>
        <v>0</v>
      </c>
      <c r="Q157" s="147">
        <f ca="1">MIN('Sources&amp;Uses'!$G$10-SUM($D$157:P157),-'Phase II Pro Forma'!Q$148-SUM(Q151:Q156))</f>
        <v>0</v>
      </c>
      <c r="R157" s="147">
        <f ca="1">MIN('Sources&amp;Uses'!$G$10-SUM($D$157:Q157),-'Phase II Pro Forma'!R$148-SUM(R151:R156))</f>
        <v>0</v>
      </c>
    </row>
    <row r="158" spans="2:18">
      <c r="B158" s="123" t="str">
        <f>'Sources&amp;Uses'!$C$11</f>
        <v>Senior Construction Loan</v>
      </c>
      <c r="C158" s="147">
        <f ca="1">SUM(D158:N158)</f>
        <v>317025351.92506778</v>
      </c>
      <c r="D158" s="147">
        <f ca="1">MIN('Sources&amp;Uses'!$G$11,-'Phase II Pro Forma'!D$148-SUM(D151:D157))</f>
        <v>0</v>
      </c>
      <c r="E158" s="147">
        <f ca="1">MIN('Sources&amp;Uses'!$G$11-SUM($D$158:D158),-'Phase II Pro Forma'!E$148-SUM(E151:E157))</f>
        <v>0</v>
      </c>
      <c r="F158" s="147">
        <f ca="1">MIN('Sources&amp;Uses'!$G$11-SUM($D$158:E158),-'Phase II Pro Forma'!F$148-SUM(F151:F157))</f>
        <v>27898448.613894671</v>
      </c>
      <c r="G158" s="147">
        <f ca="1">MIN('Sources&amp;Uses'!$G$11-SUM($D$158:F158),-'Phase II Pro Forma'!G$148-SUM(G151:G157))</f>
        <v>156588802.88465017</v>
      </c>
      <c r="H158" s="147">
        <f ca="1">MIN('Sources&amp;Uses'!$G$11-SUM($D$158:G158),-'Phase II Pro Forma'!H$148-SUM(H151:H157))</f>
        <v>132538100.42652294</v>
      </c>
      <c r="I158" s="147">
        <f ca="1">MIN('Sources&amp;Uses'!$G$11-SUM($D$158:H158),-'Phase II Pro Forma'!I$148-SUM(I151:I157))</f>
        <v>0</v>
      </c>
      <c r="J158" s="147">
        <f ca="1">MIN('Sources&amp;Uses'!$G$11-SUM($D$158:I158),-'Phase II Pro Forma'!J$148-SUM(J151:J157))</f>
        <v>0</v>
      </c>
      <c r="K158" s="147">
        <f ca="1">MIN('Sources&amp;Uses'!$G$11-SUM($D$158:J158),-'Phase II Pro Forma'!K$148-SUM(K151:K157))</f>
        <v>0</v>
      </c>
      <c r="L158" s="147">
        <f ca="1">MIN('Sources&amp;Uses'!$G$11-SUM($D$158:K158),-'Phase II Pro Forma'!L$148-SUM(L151:L157))</f>
        <v>0</v>
      </c>
      <c r="M158" s="147">
        <f ca="1">MIN('Sources&amp;Uses'!$G$11-SUM($D$158:L158),-'Phase II Pro Forma'!M$148-SUM(M151:M157))</f>
        <v>0</v>
      </c>
      <c r="N158" s="147">
        <f ca="1">MIN('Sources&amp;Uses'!$G$11-SUM($D$158:M158),-'Phase II Pro Forma'!N$148-SUM(N151:N157))</f>
        <v>0</v>
      </c>
      <c r="O158" s="147">
        <f ca="1">MIN('Sources&amp;Uses'!$G$11-SUM($D$158:N158),-'Phase II Pro Forma'!O$148-SUM(O151:O157))</f>
        <v>0</v>
      </c>
      <c r="P158" s="147">
        <f ca="1">MIN('Sources&amp;Uses'!$G$11-SUM($D$158:O158),-'Phase II Pro Forma'!P$148-SUM(P151:P157))</f>
        <v>0</v>
      </c>
      <c r="Q158" s="147">
        <f ca="1">MIN('Sources&amp;Uses'!$G$11-SUM($D$158:P158),-'Phase II Pro Forma'!Q$148-SUM(Q151:Q157))</f>
        <v>0</v>
      </c>
      <c r="R158" s="147">
        <f ca="1">MIN('Sources&amp;Uses'!$G$11-SUM($D$158:Q158),-'Phase II Pro Forma'!R$148-SUM(R151:R157))</f>
        <v>0</v>
      </c>
    </row>
    <row r="159" spans="2:18">
      <c r="B159" s="123" t="str">
        <f>'Sources&amp;Uses'!$C$12</f>
        <v>TIF Loan</v>
      </c>
      <c r="C159" s="147">
        <f ca="1">SUM(D159:N159)</f>
        <v>24050702.458127178</v>
      </c>
      <c r="D159" s="147">
        <f ca="1">MIN('Sources&amp;Uses'!$G$12,-'Phase II Pro Forma'!D$148-SUM(D151:D158))</f>
        <v>0</v>
      </c>
      <c r="E159" s="147">
        <f ca="1">MIN('Sources&amp;Uses'!$G$12-SUM($D$159:D159),-'Phase II Pro Forma'!E$148-SUM(E151:E158))</f>
        <v>0</v>
      </c>
      <c r="F159" s="147">
        <f ca="1">MIN('Sources&amp;Uses'!$G$12-SUM($D$159:E159),-'Phase II Pro Forma'!F$148-SUM(F151:F158))</f>
        <v>0</v>
      </c>
      <c r="G159" s="147">
        <f ca="1">MIN('Sources&amp;Uses'!$G$12-SUM($D$159:F159),-'Phase II Pro Forma'!G$148-SUM(G151:G158))</f>
        <v>0</v>
      </c>
      <c r="H159" s="147">
        <f ca="1">MIN('Sources&amp;Uses'!$G$12-SUM($D$159:G159),-'Phase II Pro Forma'!H$148-SUM(H151:H158))</f>
        <v>24050702.458127178</v>
      </c>
      <c r="I159" s="147">
        <f ca="1">MIN('Sources&amp;Uses'!$G$12-SUM($D$159:H159),-'Phase II Pro Forma'!I$148-SUM(I151:I158))</f>
        <v>0</v>
      </c>
      <c r="J159" s="147">
        <f ca="1">MIN('Sources&amp;Uses'!$G$12-SUM($D$159:I159),-'Phase II Pro Forma'!J$148-SUM(J151:J158))</f>
        <v>0</v>
      </c>
      <c r="K159" s="147">
        <f ca="1">MIN('Sources&amp;Uses'!$G$12-SUM($D$159:J159),-'Phase II Pro Forma'!K$148-SUM(K151:K158))</f>
        <v>0</v>
      </c>
      <c r="L159" s="147">
        <f ca="1">MIN('Sources&amp;Uses'!$G$12-SUM($D$159:K159),-'Phase II Pro Forma'!L$148-SUM(L151:L158))</f>
        <v>0</v>
      </c>
      <c r="M159" s="147">
        <f ca="1">MIN('Sources&amp;Uses'!$G$12-SUM($D$159:L159),-'Phase II Pro Forma'!M$148-SUM(M151:M158))</f>
        <v>0</v>
      </c>
      <c r="N159" s="147">
        <f ca="1">MIN('Sources&amp;Uses'!$G$12-SUM($D$159:M159),-'Phase II Pro Forma'!N$148-SUM(N151:N158))</f>
        <v>0</v>
      </c>
      <c r="O159" s="147">
        <f ca="1">MIN('Sources&amp;Uses'!$G$12-SUM($D$159:N159),-'Phase II Pro Forma'!O$148-SUM(O151:O158))</f>
        <v>0</v>
      </c>
      <c r="P159" s="147">
        <f ca="1">MIN('Sources&amp;Uses'!$G$12-SUM($D$159:O159),-'Phase II Pro Forma'!P$148-SUM(P151:P158))</f>
        <v>0</v>
      </c>
      <c r="Q159" s="147">
        <f ca="1">MIN('Sources&amp;Uses'!$G$12-SUM($D$159:P159),-'Phase II Pro Forma'!Q$148-SUM(Q151:Q158))</f>
        <v>0</v>
      </c>
      <c r="R159" s="147">
        <f ca="1">MIN('Sources&amp;Uses'!$G$12-SUM($D$159:Q159),-'Phase II Pro Forma'!R$148-SUM(R151:R158))</f>
        <v>0</v>
      </c>
    </row>
    <row r="160" spans="2:18">
      <c r="B160" s="125" t="s">
        <v>440</v>
      </c>
      <c r="C160" s="147">
        <f ca="1">SUM(D160:N160)</f>
        <v>487731310.65395045</v>
      </c>
      <c r="D160" s="147">
        <f ca="1">SUM(D151:D159)</f>
        <v>0</v>
      </c>
      <c r="E160" s="147">
        <f ca="1">SUM(E151:E159)</f>
        <v>17964902</v>
      </c>
      <c r="F160" s="147">
        <f ca="1">SUM(F151:F159)</f>
        <v>156588802.88465017</v>
      </c>
      <c r="G160" s="147">
        <f ca="1">SUM(G151:G159)</f>
        <v>156588802.88465017</v>
      </c>
      <c r="H160" s="147">
        <f ca="1">SUM(H151:H159)</f>
        <v>156588802.88465011</v>
      </c>
      <c r="I160" s="147">
        <f ca="1">SUM(I151:I159)</f>
        <v>0</v>
      </c>
      <c r="J160" s="147">
        <f ca="1">SUM(J151:J159)</f>
        <v>0</v>
      </c>
      <c r="K160" s="147">
        <f ca="1">SUM(K151:K159)</f>
        <v>0</v>
      </c>
      <c r="L160" s="147">
        <f ca="1">SUM(L151:L159)</f>
        <v>0</v>
      </c>
      <c r="M160" s="147">
        <f ca="1">SUM(M151:M159)</f>
        <v>0</v>
      </c>
      <c r="N160" s="147">
        <f ca="1">SUM(N151:N159)</f>
        <v>0</v>
      </c>
      <c r="O160" s="147">
        <f t="shared" ref="O160:R160" ca="1" si="128">SUM(O151:O159)</f>
        <v>0</v>
      </c>
      <c r="P160" s="147">
        <f t="shared" ca="1" si="128"/>
        <v>0</v>
      </c>
      <c r="Q160" s="147">
        <f t="shared" ca="1" si="128"/>
        <v>0</v>
      </c>
      <c r="R160" s="147">
        <f t="shared" ca="1" si="128"/>
        <v>0</v>
      </c>
    </row>
    <row r="161" spans="2:18">
      <c r="B161" s="125"/>
      <c r="C161" s="147"/>
      <c r="D161" s="34"/>
    </row>
    <row r="162" spans="2:18">
      <c r="B162" s="256" t="s">
        <v>441</v>
      </c>
      <c r="C162" s="147">
        <f ca="1">SUM(D162:N162)</f>
        <v>102779107.42777818</v>
      </c>
      <c r="D162" s="147">
        <f ca="1">D152+D153+D154+D156+D157+D159</f>
        <v>0</v>
      </c>
      <c r="E162" s="147">
        <f ca="1">E152+E153+E154+E156+E157+E159</f>
        <v>0</v>
      </c>
      <c r="F162" s="147">
        <f ca="1">F152+F153+F154+F156+F157+F159</f>
        <v>78728404.969651014</v>
      </c>
      <c r="G162" s="147">
        <f ca="1">G152+G153+G154+G156+G157+G159</f>
        <v>0</v>
      </c>
      <c r="H162" s="147">
        <f ca="1">H152+H153+H154+H156+H157+H159</f>
        <v>24050702.458127178</v>
      </c>
      <c r="I162" s="147">
        <f ca="1">I152+I153+I154+I156+I157+I159</f>
        <v>0</v>
      </c>
      <c r="J162" s="147">
        <f ca="1">J152+J153+J154+J156+J157+J159</f>
        <v>0</v>
      </c>
      <c r="K162" s="147">
        <f ca="1">K152+K153+K154+K156+K157+K159</f>
        <v>0</v>
      </c>
      <c r="L162" s="147">
        <f ca="1">L152+L153+L154+L156+L157+L159</f>
        <v>0</v>
      </c>
      <c r="M162" s="147">
        <f ca="1">M152+M153+M154+M156+M157+M159</f>
        <v>0</v>
      </c>
      <c r="N162" s="147">
        <f ca="1">N152+N153+N154+N156+N157+N159</f>
        <v>0</v>
      </c>
      <c r="O162" s="147">
        <f t="shared" ref="O162:R162" ca="1" si="129">O152+O153+O154+O156+O157+O159</f>
        <v>0</v>
      </c>
      <c r="P162" s="147">
        <f t="shared" ca="1" si="129"/>
        <v>0</v>
      </c>
      <c r="Q162" s="147">
        <f t="shared" ca="1" si="129"/>
        <v>0</v>
      </c>
      <c r="R162" s="147">
        <f t="shared" ca="1" si="129"/>
        <v>0</v>
      </c>
    </row>
    <row r="163" spans="2:18">
      <c r="B163" s="256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</row>
    <row r="164" spans="2:18" ht="18">
      <c r="B164" s="302" t="s">
        <v>442</v>
      </c>
      <c r="C164" s="284"/>
      <c r="D164" s="284"/>
      <c r="E164" s="284"/>
      <c r="F164" s="284"/>
      <c r="G164" s="284"/>
      <c r="H164" s="284"/>
      <c r="I164" s="284"/>
      <c r="J164" s="284"/>
      <c r="K164" s="284"/>
      <c r="L164" s="284"/>
      <c r="M164" s="284"/>
      <c r="N164" s="284"/>
      <c r="O164" s="284"/>
      <c r="P164" s="284"/>
      <c r="Q164" s="284"/>
      <c r="R164" s="284"/>
    </row>
    <row r="165" spans="2:18">
      <c r="B165" s="123" t="s">
        <v>443</v>
      </c>
      <c r="C165" s="147">
        <f ca="1">SUM(D165:N165)</f>
        <v>-65426851.301104486</v>
      </c>
      <c r="D165" s="147">
        <f ca="1">-D151</f>
        <v>0</v>
      </c>
      <c r="E165" s="147">
        <f ca="1">-E151</f>
        <v>-17964902</v>
      </c>
      <c r="F165" s="147">
        <f ca="1">-F151</f>
        <v>-47461949.301104486</v>
      </c>
      <c r="G165" s="147">
        <f ca="1">-G151</f>
        <v>0</v>
      </c>
      <c r="H165" s="147">
        <f ca="1">-H151</f>
        <v>0</v>
      </c>
      <c r="I165" s="147">
        <f ca="1">-I151</f>
        <v>0</v>
      </c>
      <c r="J165" s="147">
        <f ca="1">-J151</f>
        <v>0</v>
      </c>
      <c r="K165" s="147">
        <f ca="1">-K151</f>
        <v>0</v>
      </c>
      <c r="L165" s="147">
        <f ca="1">-L151</f>
        <v>0</v>
      </c>
      <c r="M165" s="147">
        <f ca="1">-M151</f>
        <v>0</v>
      </c>
      <c r="N165" s="147">
        <f t="shared" ref="N165" ca="1" si="130">-N151</f>
        <v>0</v>
      </c>
      <c r="O165" s="147">
        <f t="shared" ref="O165:R165" ca="1" si="131">-O151</f>
        <v>0</v>
      </c>
      <c r="P165" s="147">
        <f t="shared" ca="1" si="131"/>
        <v>0</v>
      </c>
      <c r="Q165" s="147">
        <f t="shared" ca="1" si="131"/>
        <v>0</v>
      </c>
      <c r="R165" s="147">
        <f t="shared" ca="1" si="131"/>
        <v>0</v>
      </c>
    </row>
    <row r="166" spans="2:18" ht="17.100000000000001" thickBot="1">
      <c r="B166" s="123" t="s">
        <v>444</v>
      </c>
      <c r="C166" s="147">
        <f ca="1">SUM(D166:N166)</f>
        <v>246516730.03781042</v>
      </c>
      <c r="D166" s="147">
        <f ca="1">D138</f>
        <v>0</v>
      </c>
      <c r="E166" s="147">
        <f t="shared" ref="E166:N166" ca="1" si="132">E138</f>
        <v>0</v>
      </c>
      <c r="F166" s="147">
        <f ca="1">F138</f>
        <v>-935806.11784796265</v>
      </c>
      <c r="G166" s="147">
        <f ca="1">G138</f>
        <v>-6991943.2401361791</v>
      </c>
      <c r="H166" s="147">
        <f ca="1">H138</f>
        <v>795754.1054846358</v>
      </c>
      <c r="I166" s="147">
        <f ca="1">I138</f>
        <v>4797382.789629057</v>
      </c>
      <c r="J166" s="147">
        <f t="shared" ca="1" si="132"/>
        <v>5602594.9262756109</v>
      </c>
      <c r="K166" s="147">
        <f t="shared" ca="1" si="132"/>
        <v>243248747.57440525</v>
      </c>
      <c r="L166" s="147">
        <f t="shared" si="132"/>
        <v>0</v>
      </c>
      <c r="M166" s="147">
        <f t="shared" si="132"/>
        <v>0</v>
      </c>
      <c r="N166" s="147">
        <f t="shared" si="132"/>
        <v>0</v>
      </c>
      <c r="O166" s="147">
        <f t="shared" ref="O166:R166" si="133">O138</f>
        <v>0</v>
      </c>
      <c r="P166" s="147">
        <f t="shared" si="133"/>
        <v>0</v>
      </c>
      <c r="Q166" s="147">
        <f t="shared" si="133"/>
        <v>0</v>
      </c>
      <c r="R166" s="147">
        <f t="shared" si="133"/>
        <v>0</v>
      </c>
    </row>
    <row r="167" spans="2:18" ht="17.100000000000001" thickBot="1">
      <c r="B167" s="287" t="s">
        <v>445</v>
      </c>
      <c r="C167" s="289">
        <f ca="1">SUM(C165:C166)</f>
        <v>181089878.73670593</v>
      </c>
      <c r="D167" s="289">
        <f ca="1">D165+D166</f>
        <v>0</v>
      </c>
      <c r="E167" s="289">
        <f ca="1">E165+E166</f>
        <v>-17964902</v>
      </c>
      <c r="F167" s="289">
        <f ca="1">F165+F166</f>
        <v>-48397755.41895245</v>
      </c>
      <c r="G167" s="289">
        <f ca="1">G165+G166</f>
        <v>-6991943.2401361791</v>
      </c>
      <c r="H167" s="289">
        <f ca="1">H165+H166</f>
        <v>795754.1054846358</v>
      </c>
      <c r="I167" s="289">
        <f ca="1">I165+I166</f>
        <v>4797382.789629057</v>
      </c>
      <c r="J167" s="289">
        <f ca="1">J165+J166</f>
        <v>5602594.9262756109</v>
      </c>
      <c r="K167" s="289">
        <f ca="1">K165+K166</f>
        <v>243248747.57440525</v>
      </c>
      <c r="L167" s="289">
        <f ca="1">L165+L166</f>
        <v>0</v>
      </c>
      <c r="M167" s="289">
        <f ca="1">M165+M166</f>
        <v>0</v>
      </c>
      <c r="N167" s="290">
        <f t="shared" ref="N167" ca="1" si="134">N165+N166</f>
        <v>0</v>
      </c>
      <c r="O167" s="290">
        <f t="shared" ref="O167" ca="1" si="135">O165+O166</f>
        <v>0</v>
      </c>
      <c r="P167" s="290">
        <f t="shared" ref="P167" ca="1" si="136">P165+P166</f>
        <v>0</v>
      </c>
      <c r="Q167" s="290">
        <f t="shared" ref="Q167" ca="1" si="137">Q165+Q166</f>
        <v>0</v>
      </c>
      <c r="R167" s="290">
        <f t="shared" ref="R167" ca="1" si="138">R165+R166</f>
        <v>0</v>
      </c>
    </row>
    <row r="168" spans="2:18" ht="17.100000000000001" thickBot="1">
      <c r="B168" s="128"/>
      <c r="C168" s="128"/>
    </row>
    <row r="169" spans="2:18">
      <c r="B169" s="292" t="s">
        <v>446</v>
      </c>
      <c r="C169" s="293">
        <f ca="1">IRR(D167:N167)</f>
        <v>0.27607163955658276</v>
      </c>
      <c r="D169" s="34"/>
    </row>
    <row r="170" spans="2:18" ht="17.100000000000001" thickBot="1">
      <c r="B170" s="294" t="s">
        <v>447</v>
      </c>
      <c r="C170" s="295">
        <f ca="1">SUM(C166)/-C165</f>
        <v>3.7678220048111792</v>
      </c>
    </row>
    <row r="171" spans="2:18">
      <c r="B171" s="125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</row>
    <row r="172" spans="2:18">
      <c r="B172" s="125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</row>
    <row r="173" spans="2:18" ht="18">
      <c r="B173" s="302" t="s">
        <v>448</v>
      </c>
      <c r="C173" s="284"/>
      <c r="D173" s="279">
        <f>D2</f>
        <v>2024</v>
      </c>
      <c r="E173" s="279">
        <f>E2</f>
        <v>2025</v>
      </c>
      <c r="F173" s="279">
        <f>F2</f>
        <v>2026</v>
      </c>
      <c r="G173" s="279">
        <f>G2</f>
        <v>2027</v>
      </c>
      <c r="H173" s="279">
        <f>H2</f>
        <v>2028</v>
      </c>
      <c r="I173" s="279">
        <f>I2</f>
        <v>2029</v>
      </c>
      <c r="J173" s="279">
        <f>J2</f>
        <v>2030</v>
      </c>
      <c r="K173" s="279">
        <f>K2</f>
        <v>2031</v>
      </c>
      <c r="L173" s="279">
        <f>L2</f>
        <v>2032</v>
      </c>
      <c r="M173" s="279">
        <f>M2</f>
        <v>2033</v>
      </c>
      <c r="N173" s="279">
        <f>N2</f>
        <v>2034</v>
      </c>
      <c r="O173" s="279">
        <f>O2</f>
        <v>2035</v>
      </c>
      <c r="P173" s="279">
        <f>P2</f>
        <v>2036</v>
      </c>
      <c r="Q173" s="279">
        <f>Q2</f>
        <v>2037</v>
      </c>
      <c r="R173" s="279">
        <f>R2</f>
        <v>2038</v>
      </c>
    </row>
    <row r="174" spans="2:18">
      <c r="B174" s="280"/>
      <c r="C174" s="284"/>
      <c r="D174" s="281">
        <f>D3</f>
        <v>45657</v>
      </c>
      <c r="E174" s="281">
        <f>E3</f>
        <v>46022</v>
      </c>
      <c r="F174" s="281">
        <f>F3</f>
        <v>46387</v>
      </c>
      <c r="G174" s="281">
        <f>G3</f>
        <v>46752</v>
      </c>
      <c r="H174" s="281">
        <f>H3</f>
        <v>47118</v>
      </c>
      <c r="I174" s="281">
        <f>I3</f>
        <v>47483</v>
      </c>
      <c r="J174" s="281">
        <f>J3</f>
        <v>47848</v>
      </c>
      <c r="K174" s="281">
        <f>K3</f>
        <v>48213</v>
      </c>
      <c r="L174" s="281">
        <f>L3</f>
        <v>48579</v>
      </c>
      <c r="M174" s="281">
        <f>M3</f>
        <v>48944</v>
      </c>
      <c r="N174" s="281">
        <f>N3</f>
        <v>49309</v>
      </c>
      <c r="O174" s="281">
        <f>O3</f>
        <v>49674</v>
      </c>
      <c r="P174" s="281">
        <f>P3</f>
        <v>50040</v>
      </c>
      <c r="Q174" s="281">
        <f>Q3</f>
        <v>50405</v>
      </c>
      <c r="R174" s="281">
        <f>R3</f>
        <v>50770</v>
      </c>
    </row>
    <row r="175" spans="2:18">
      <c r="B175" s="136"/>
      <c r="C175" s="296"/>
      <c r="D175" s="297"/>
      <c r="E175" s="297"/>
      <c r="F175" s="297"/>
      <c r="G175" s="297"/>
      <c r="H175" s="297"/>
      <c r="I175" s="297"/>
      <c r="J175" s="297"/>
      <c r="K175" s="297"/>
      <c r="L175" s="297"/>
      <c r="M175" s="297"/>
      <c r="N175" s="297"/>
      <c r="O175" s="297"/>
      <c r="P175" s="297"/>
      <c r="Q175" s="297"/>
      <c r="R175" s="297"/>
    </row>
    <row r="176" spans="2:18">
      <c r="B176" s="124" t="s">
        <v>424</v>
      </c>
      <c r="C176" s="296"/>
      <c r="D176" s="147">
        <f ca="1">D113</f>
        <v>0</v>
      </c>
      <c r="E176" s="147">
        <f ca="1">E113</f>
        <v>0</v>
      </c>
      <c r="F176" s="147">
        <f ca="1">F113</f>
        <v>0</v>
      </c>
      <c r="G176" s="147">
        <f ca="1">G113</f>
        <v>0</v>
      </c>
      <c r="H176" s="147">
        <f ca="1">H113</f>
        <v>16277573.378461426</v>
      </c>
      <c r="I176" s="147">
        <f ca="1">I113</f>
        <v>23461727.355095703</v>
      </c>
      <c r="J176" s="147">
        <f ca="1">J113</f>
        <v>24128168.822190695</v>
      </c>
      <c r="K176" s="147">
        <f ca="1">K113</f>
        <v>24814486.820839204</v>
      </c>
      <c r="L176" s="147">
        <f ca="1">L113</f>
        <v>25521290.711062428</v>
      </c>
      <c r="M176" s="147">
        <f ca="1">M113</f>
        <v>26249208.823468681</v>
      </c>
      <c r="N176" s="147">
        <f ca="1">N113</f>
        <v>26998889.055178683</v>
      </c>
      <c r="O176" s="147">
        <f ca="1">O113</f>
        <v>27770999.484579358</v>
      </c>
      <c r="P176" s="147">
        <f ca="1">P113</f>
        <v>28566229.005503673</v>
      </c>
      <c r="Q176" s="147">
        <f ca="1">Q113</f>
        <v>29385287.981452793</v>
      </c>
      <c r="R176" s="147">
        <f ca="1">R113</f>
        <v>30228908.92049681</v>
      </c>
    </row>
    <row r="177" spans="2:18">
      <c r="B177" s="124" t="s">
        <v>449</v>
      </c>
      <c r="C177" s="296"/>
      <c r="D177" s="147">
        <f>D136</f>
        <v>0</v>
      </c>
      <c r="E177" s="147">
        <f t="shared" ref="E177:N177" si="139">E136</f>
        <v>0</v>
      </c>
      <c r="F177" s="147">
        <f t="shared" si="139"/>
        <v>0</v>
      </c>
      <c r="G177" s="147">
        <f t="shared" si="139"/>
        <v>0</v>
      </c>
      <c r="H177" s="147">
        <f t="shared" si="139"/>
        <v>0</v>
      </c>
      <c r="I177" s="147">
        <f t="shared" si="139"/>
        <v>0</v>
      </c>
      <c r="J177" s="147">
        <f t="shared" si="139"/>
        <v>0</v>
      </c>
      <c r="K177" s="147">
        <f t="shared" ca="1" si="139"/>
        <v>523957301.78272265</v>
      </c>
      <c r="L177" s="147">
        <f t="shared" si="139"/>
        <v>0</v>
      </c>
      <c r="M177" s="147">
        <f t="shared" si="139"/>
        <v>0</v>
      </c>
      <c r="N177" s="147">
        <f t="shared" si="139"/>
        <v>0</v>
      </c>
      <c r="O177" s="147">
        <f t="shared" ref="O177:R177" si="140">O136</f>
        <v>0</v>
      </c>
      <c r="P177" s="147">
        <f t="shared" si="140"/>
        <v>0</v>
      </c>
      <c r="Q177" s="147">
        <f t="shared" si="140"/>
        <v>0</v>
      </c>
      <c r="R177" s="147">
        <f t="shared" si="140"/>
        <v>0</v>
      </c>
    </row>
    <row r="178" spans="2:18">
      <c r="B178" s="124"/>
      <c r="C178" s="296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</row>
    <row r="179" spans="2:18" ht="18">
      <c r="B179" s="302" t="s">
        <v>16</v>
      </c>
      <c r="C179" s="280"/>
      <c r="D179" s="284"/>
      <c r="E179" s="284"/>
      <c r="F179" s="284"/>
      <c r="G179" s="284"/>
      <c r="H179" s="284"/>
      <c r="I179" s="284"/>
      <c r="J179" s="284"/>
      <c r="K179" s="284"/>
      <c r="L179" s="284"/>
      <c r="M179" s="284"/>
      <c r="N179" s="284"/>
      <c r="O179" s="284"/>
      <c r="P179" s="284"/>
      <c r="Q179" s="284"/>
      <c r="R179" s="284"/>
    </row>
    <row r="180" spans="2:18">
      <c r="B180" s="123" t="s">
        <v>215</v>
      </c>
      <c r="C180" s="147">
        <f>SUM(D180:N180)</f>
        <v>0</v>
      </c>
      <c r="D180" s="147">
        <f>-IF(AND($D$70&gt;Assumptions!$D$5,$D$70&lt;=Assumptions!$E$5),'Sources&amp;Uses'!$G$17/ROUNDUP(Assumptions!$E$2/12,0),0)</f>
        <v>0</v>
      </c>
      <c r="E180" s="147">
        <f>-IF(AND($D$70&gt;Assumptions!$D$5,$D$70&lt;=Assumptions!$E$5),'Sources&amp;Uses'!$G$17/ROUNDUP(Assumptions!$E$2/12,0),0)</f>
        <v>0</v>
      </c>
      <c r="F180" s="147">
        <f>-IF(AND($D$70&gt;Assumptions!$D$5,$D$70&lt;=Assumptions!$E$5),'Sources&amp;Uses'!$G$17/ROUNDUP(Assumptions!$E$2/12,0),0)</f>
        <v>0</v>
      </c>
      <c r="G180" s="147">
        <f>-IF(AND($D$70&gt;Assumptions!$D$5,$D$70&lt;=Assumptions!$E$5),'Sources&amp;Uses'!$G$17/ROUNDUP(Assumptions!$E$2/12,0),0)</f>
        <v>0</v>
      </c>
      <c r="H180" s="147">
        <f>-IF(AND($D$70&gt;Assumptions!$D$5,$D$70&lt;=Assumptions!$E$5),'Sources&amp;Uses'!$G$17/ROUNDUP(Assumptions!$E$2/12,0),0)</f>
        <v>0</v>
      </c>
      <c r="I180" s="147">
        <f>-IF(AND($D$70&gt;Assumptions!$D$5,$D$70&lt;=Assumptions!$E$5),'Sources&amp;Uses'!$G$17/ROUNDUP(Assumptions!$E$2/12,0),0)</f>
        <v>0</v>
      </c>
      <c r="J180" s="147">
        <f>-IF(AND($D$70&gt;Assumptions!$D$5,$D$70&lt;=Assumptions!$E$5),'Sources&amp;Uses'!$G$17/ROUNDUP(Assumptions!$E$2/12,0),0)</f>
        <v>0</v>
      </c>
      <c r="K180" s="147">
        <f>-IF(AND($D$70&gt;Assumptions!$D$5,$D$70&lt;=Assumptions!$E$5),'Sources&amp;Uses'!$G$17/ROUNDUP(Assumptions!$E$2/12,0),0)</f>
        <v>0</v>
      </c>
      <c r="L180" s="147">
        <f>-IF(AND($D$70&gt;Assumptions!$D$5,$D$70&lt;=Assumptions!$E$5),'Sources&amp;Uses'!$G$17/ROUNDUP(Assumptions!$E$2/12,0),0)</f>
        <v>0</v>
      </c>
      <c r="M180" s="147">
        <f>-IF(AND($D$70&gt;Assumptions!$D$5,$D$70&lt;=Assumptions!$E$5),'Sources&amp;Uses'!$G$17/ROUNDUP(Assumptions!$E$2/12,0),0)</f>
        <v>0</v>
      </c>
      <c r="N180" s="147">
        <f>-IF(AND($D$70&gt;Assumptions!$D$5,$D$70&lt;=Assumptions!$E$5),'Sources&amp;Uses'!$G$17/ROUNDUP(Assumptions!$E$2/12,0),0)</f>
        <v>0</v>
      </c>
      <c r="O180" s="147">
        <f>-IF(AND($D$70&gt;Assumptions!$D$5,$D$70&lt;=Assumptions!$E$5),'Sources&amp;Uses'!$G$17/ROUNDUP(Assumptions!$E$2/12,0),0)</f>
        <v>0</v>
      </c>
      <c r="P180" s="147">
        <f>-IF(AND($D$70&gt;Assumptions!$D$5,$D$70&lt;=Assumptions!$E$5),'Sources&amp;Uses'!$G$17/ROUNDUP(Assumptions!$E$2/12,0),0)</f>
        <v>0</v>
      </c>
      <c r="Q180" s="147">
        <f>-IF(AND($D$70&gt;Assumptions!$D$5,$D$70&lt;=Assumptions!$E$5),'Sources&amp;Uses'!$G$17/ROUNDUP(Assumptions!$E$2/12,0),0)</f>
        <v>0</v>
      </c>
      <c r="R180" s="147">
        <f>-IF(AND($D$70&gt;Assumptions!$D$5,$D$70&lt;=Assumptions!$E$5),'Sources&amp;Uses'!$G$17/ROUNDUP(Assumptions!$E$2/12,0),0)</f>
        <v>0</v>
      </c>
    </row>
    <row r="181" spans="2:18">
      <c r="B181" s="123" t="s">
        <v>66</v>
      </c>
      <c r="C181" s="147">
        <f t="shared" ref="C181" ca="1" si="141">SUM(D181:N181)</f>
        <v>-14738062.530705001</v>
      </c>
      <c r="D181" s="147">
        <f>-IF(AND(D$70&gt;Assumptions!$E$5,D$70&lt;=Assumptions!$F$5),'Sources&amp;Uses'!$G$18/ROUNDUP(Assumptions!$F$2/12,0),0)</f>
        <v>0</v>
      </c>
      <c r="E181" s="147">
        <f>-IF(AND(E$70&gt;Assumptions!$E$5,E$70&lt;=Assumptions!$F$5),'Sources&amp;Uses'!$G$18/ROUNDUP(Assumptions!$F$2/12,0),0)</f>
        <v>0</v>
      </c>
      <c r="F181" s="147">
        <f ca="1">-IF(AND(F$70&gt;Assumptions!$E$5,F$70&lt;=Assumptions!$F$5),'Sources&amp;Uses'!$G$18/ROUNDUP(Assumptions!$F$2/12,0),0)</f>
        <v>-4912687.5102350004</v>
      </c>
      <c r="G181" s="147">
        <f ca="1">-IF(AND(G$70&gt;Assumptions!$E$5,G$70&lt;=Assumptions!$F$5),'Sources&amp;Uses'!$G$18/ROUNDUP(Assumptions!$F$2/12,0),0)</f>
        <v>-4912687.5102350004</v>
      </c>
      <c r="H181" s="147">
        <f ca="1">-IF(AND(H$70&gt;Assumptions!$E$5,H$70&lt;=Assumptions!$F$5),'Sources&amp;Uses'!$G$18/ROUNDUP(Assumptions!$F$2/12,0),0)</f>
        <v>-4912687.5102350004</v>
      </c>
      <c r="I181" s="147">
        <f>-IF(AND(I$70&gt;Assumptions!$E$5,I$70&lt;=Assumptions!$F$5),'Sources&amp;Uses'!$G$18/ROUNDUP(Assumptions!$F$2/12,0),0)</f>
        <v>0</v>
      </c>
      <c r="J181" s="147">
        <f>-IF(AND(J$70&gt;Assumptions!$E$5,J$70&lt;=Assumptions!$F$5),'Sources&amp;Uses'!$G$18/ROUNDUP(Assumptions!$F$2/12,0),0)</f>
        <v>0</v>
      </c>
      <c r="K181" s="147">
        <f>-IF(AND(K$70&gt;Assumptions!$E$5,K$70&lt;=Assumptions!$F$5),'Sources&amp;Uses'!$G$18/ROUNDUP(Assumptions!$F$2/12,0),0)</f>
        <v>0</v>
      </c>
      <c r="L181" s="147">
        <f>-IF(AND(L$70&gt;Assumptions!$E$5,L$70&lt;=Assumptions!$F$5),'Sources&amp;Uses'!$G$18/ROUNDUP(Assumptions!$F$2/12,0),0)</f>
        <v>0</v>
      </c>
      <c r="M181" s="147">
        <f>-IF(AND(M$70&gt;Assumptions!$E$5,M$70&lt;=Assumptions!$F$5),'Sources&amp;Uses'!$G$18/ROUNDUP(Assumptions!$F$2/12,0),0)</f>
        <v>0</v>
      </c>
      <c r="N181" s="147">
        <f>-IF(AND(N$70&gt;Assumptions!$E$5,N$70&lt;=Assumptions!$F$5),'Sources&amp;Uses'!$G$18/ROUNDUP(Assumptions!$F$2/12,0),0)</f>
        <v>0</v>
      </c>
      <c r="O181" s="147">
        <f>-IF(AND(O$70&gt;Assumptions!$E$5,O$70&lt;=Assumptions!$F$5),'Sources&amp;Uses'!$G$18/ROUNDUP(Assumptions!$F$2/12,0),0)</f>
        <v>0</v>
      </c>
      <c r="P181" s="147">
        <f>-IF(AND(P$70&gt;Assumptions!$E$5,P$70&lt;=Assumptions!$F$5),'Sources&amp;Uses'!$G$18/ROUNDUP(Assumptions!$F$2/12,0),0)</f>
        <v>0</v>
      </c>
      <c r="Q181" s="147">
        <f>-IF(AND(Q$70&gt;Assumptions!$E$5,Q$70&lt;=Assumptions!$F$5),'Sources&amp;Uses'!$G$18/ROUNDUP(Assumptions!$F$2/12,0),0)</f>
        <v>0</v>
      </c>
      <c r="R181" s="147">
        <f>-IF(AND(R$70&gt;Assumptions!$E$5,R$70&lt;=Assumptions!$F$5),'Sources&amp;Uses'!$G$18/ROUNDUP(Assumptions!$F$2/12,0),0)</f>
        <v>0</v>
      </c>
    </row>
    <row r="182" spans="2:18">
      <c r="B182" s="123" t="s">
        <v>17</v>
      </c>
      <c r="C182" s="147">
        <f ca="1">SUM(D182:N182)</f>
        <v>-328159886.33629644</v>
      </c>
      <c r="D182" s="147">
        <f>-IF(AND(D$70&gt;Assumptions!$E$5,D$70&lt;=Assumptions!$F$5),'Sources&amp;Uses'!$G$19/ROUNDUP(Assumptions!$F$2/12,0),0)</f>
        <v>0</v>
      </c>
      <c r="E182" s="147">
        <f>-IF(AND(E$70&gt;Assumptions!$E$5,E$70&lt;=Assumptions!$F$5),'Sources&amp;Uses'!$G$19/ROUNDUP(Assumptions!$F$2/12,0),0)</f>
        <v>0</v>
      </c>
      <c r="F182" s="147">
        <f ca="1">-IF(AND(F$70&gt;Assumptions!$E$5,F$70&lt;=Assumptions!$F$5),'Sources&amp;Uses'!$G$19/ROUNDUP(Assumptions!$F$2/12,0),0)</f>
        <v>-109386628.77876548</v>
      </c>
      <c r="G182" s="147">
        <f ca="1">-IF(AND(G$70&gt;Assumptions!$E$5,G$70&lt;=Assumptions!$F$5),'Sources&amp;Uses'!$G$19/ROUNDUP(Assumptions!$F$2/12,0),0)</f>
        <v>-109386628.77876548</v>
      </c>
      <c r="H182" s="147">
        <f ca="1">-IF(AND(H$70&gt;Assumptions!$E$5,H$70&lt;=Assumptions!$F$5),'Sources&amp;Uses'!$G$19/ROUNDUP(Assumptions!$F$2/12,0),0)</f>
        <v>-109386628.77876548</v>
      </c>
      <c r="I182" s="147">
        <f>-IF(AND(I$70&gt;Assumptions!$E$5,I$70&lt;=Assumptions!$F$5),'Sources&amp;Uses'!$G$19/ROUNDUP(Assumptions!$F$2/12,0),0)</f>
        <v>0</v>
      </c>
      <c r="J182" s="147">
        <f>-IF(AND(J$70&gt;Assumptions!$E$5,J$70&lt;=Assumptions!$F$5),'Sources&amp;Uses'!$G$19/ROUNDUP(Assumptions!$F$2/12,0),0)</f>
        <v>0</v>
      </c>
      <c r="K182" s="147">
        <f>-IF(AND(K$70&gt;Assumptions!$E$5,K$70&lt;=Assumptions!$F$5),'Sources&amp;Uses'!$G$19/ROUNDUP(Assumptions!$F$2/12,0),0)</f>
        <v>0</v>
      </c>
      <c r="L182" s="147">
        <f>-IF(AND(L$70&gt;Assumptions!$E$5,L$70&lt;=Assumptions!$F$5),'Sources&amp;Uses'!$G$19/ROUNDUP(Assumptions!$F$2/12,0),0)</f>
        <v>0</v>
      </c>
      <c r="M182" s="147">
        <f>-IF(AND(M$70&gt;Assumptions!$E$5,M$70&lt;=Assumptions!$F$5),'Sources&amp;Uses'!$G$19/ROUNDUP(Assumptions!$F$2/12,0),0)</f>
        <v>0</v>
      </c>
      <c r="N182" s="147">
        <f>-IF(AND(N$70&gt;Assumptions!$E$5,N$70&lt;=Assumptions!$F$5),'Sources&amp;Uses'!$G$19/ROUNDUP(Assumptions!$F$2/12,0),0)</f>
        <v>0</v>
      </c>
      <c r="O182" s="147">
        <f>-IF(AND(O$70&gt;Assumptions!$E$5,O$70&lt;=Assumptions!$F$5),'Sources&amp;Uses'!$G$19/ROUNDUP(Assumptions!$F$2/12,0),0)</f>
        <v>0</v>
      </c>
      <c r="P182" s="147">
        <f>-IF(AND(P$70&gt;Assumptions!$E$5,P$70&lt;=Assumptions!$F$5),'Sources&amp;Uses'!$G$19/ROUNDUP(Assumptions!$F$2/12,0),0)</f>
        <v>0</v>
      </c>
      <c r="Q182" s="147">
        <f>-IF(AND(Q$70&gt;Assumptions!$E$5,Q$70&lt;=Assumptions!$F$5),'Sources&amp;Uses'!$G$19/ROUNDUP(Assumptions!$F$2/12,0),0)</f>
        <v>0</v>
      </c>
      <c r="R182" s="147">
        <f>-IF(AND(R$70&gt;Assumptions!$E$5,R$70&lt;=Assumptions!$F$5),'Sources&amp;Uses'!$G$19/ROUNDUP(Assumptions!$F$2/12,0),0)</f>
        <v>0</v>
      </c>
    </row>
    <row r="183" spans="2:18">
      <c r="B183" s="123" t="s">
        <v>19</v>
      </c>
      <c r="C183" s="147">
        <f t="shared" ref="C183:C187" ca="1" si="142">SUM(D183:N183)</f>
        <v>-85724487.216750354</v>
      </c>
      <c r="D183" s="147">
        <f>-IF(AND(D$70&gt;Assumptions!$E$5,D$70&lt;=Assumptions!$F$5),'Sources&amp;Uses'!$G$20/ROUNDUP(Assumptions!$F$2/12,0),0)</f>
        <v>0</v>
      </c>
      <c r="E183" s="147">
        <f>-IF(AND(E$70&gt;Assumptions!$E$5,E$70&lt;=Assumptions!$F$5),'Sources&amp;Uses'!$G$20/ROUNDUP(Assumptions!$F$2/12,0),0)</f>
        <v>0</v>
      </c>
      <c r="F183" s="147">
        <f ca="1">-IF(AND(F$70&gt;Assumptions!$E$5,F$70&lt;=Assumptions!$F$5),'Sources&amp;Uses'!$G$20/ROUNDUP(Assumptions!$F$2/12,0),0)</f>
        <v>-28574829.072250117</v>
      </c>
      <c r="G183" s="147">
        <f ca="1">-IF(AND(G$70&gt;Assumptions!$E$5,G$70&lt;=Assumptions!$F$5),'Sources&amp;Uses'!$G$20/ROUNDUP(Assumptions!$F$2/12,0),0)</f>
        <v>-28574829.072250117</v>
      </c>
      <c r="H183" s="147">
        <f ca="1">-IF(AND(H$70&gt;Assumptions!$E$5,H$70&lt;=Assumptions!$F$5),'Sources&amp;Uses'!$G$20/ROUNDUP(Assumptions!$F$2/12,0),0)</f>
        <v>-28574829.072250117</v>
      </c>
      <c r="I183" s="147">
        <f>-IF(AND(I$70&gt;Assumptions!$E$5,I$70&lt;=Assumptions!$F$5),'Sources&amp;Uses'!$G$20/ROUNDUP(Assumptions!$F$2/12,0),0)</f>
        <v>0</v>
      </c>
      <c r="J183" s="147">
        <f>-IF(AND(J$70&gt;Assumptions!$E$5,J$70&lt;=Assumptions!$F$5),'Sources&amp;Uses'!$G$20/ROUNDUP(Assumptions!$F$2/12,0),0)</f>
        <v>0</v>
      </c>
      <c r="K183" s="147">
        <f>-IF(AND(K$70&gt;Assumptions!$E$5,K$70&lt;=Assumptions!$F$5),'Sources&amp;Uses'!$G$20/ROUNDUP(Assumptions!$F$2/12,0),0)</f>
        <v>0</v>
      </c>
      <c r="L183" s="147">
        <f>-IF(AND(L$70&gt;Assumptions!$E$5,L$70&lt;=Assumptions!$F$5),'Sources&amp;Uses'!$G$20/ROUNDUP(Assumptions!$F$2/12,0),0)</f>
        <v>0</v>
      </c>
      <c r="M183" s="147">
        <f>-IF(AND(M$70&gt;Assumptions!$E$5,M$70&lt;=Assumptions!$F$5),'Sources&amp;Uses'!$G$20/ROUNDUP(Assumptions!$F$2/12,0),0)</f>
        <v>0</v>
      </c>
      <c r="N183" s="147">
        <f>-IF(AND(N$70&gt;Assumptions!$E$5,N$70&lt;=Assumptions!$F$5),'Sources&amp;Uses'!$G$20/ROUNDUP(Assumptions!$F$2/12,0),0)</f>
        <v>0</v>
      </c>
      <c r="O183" s="147">
        <f>-IF(AND(O$70&gt;Assumptions!$E$5,O$70&lt;=Assumptions!$F$5),'Sources&amp;Uses'!$G$20/ROUNDUP(Assumptions!$F$2/12,0),0)</f>
        <v>0</v>
      </c>
      <c r="P183" s="147">
        <f>-IF(AND(P$70&gt;Assumptions!$E$5,P$70&lt;=Assumptions!$F$5),'Sources&amp;Uses'!$G$20/ROUNDUP(Assumptions!$F$2/12,0),0)</f>
        <v>0</v>
      </c>
      <c r="Q183" s="147">
        <f>-IF(AND(Q$70&gt;Assumptions!$E$5,Q$70&lt;=Assumptions!$F$5),'Sources&amp;Uses'!$G$20/ROUNDUP(Assumptions!$F$2/12,0),0)</f>
        <v>0</v>
      </c>
      <c r="R183" s="147">
        <f>-IF(AND(R$70&gt;Assumptions!$E$5,R$70&lt;=Assumptions!$F$5),'Sources&amp;Uses'!$G$20/ROUNDUP(Assumptions!$F$2/12,0),0)</f>
        <v>0</v>
      </c>
    </row>
    <row r="184" spans="2:18">
      <c r="B184" s="123" t="s">
        <v>33</v>
      </c>
      <c r="C184" s="147">
        <f t="shared" ca="1" si="142"/>
        <v>-27941966.154352807</v>
      </c>
      <c r="D184" s="147">
        <f>-IF(AND(D$70&gt;Assumptions!$E$5,D$70&lt;=Assumptions!$F$5),'Sources&amp;Uses'!$G21/ROUNDUP(Assumptions!$F$2/12,0),0)</f>
        <v>0</v>
      </c>
      <c r="E184" s="147">
        <f>-IF(AND(E$70&gt;Assumptions!$E$5,E$70&lt;=Assumptions!$F$5),'Sources&amp;Uses'!$G21/ROUNDUP(Assumptions!$F$2/12,0),0)</f>
        <v>0</v>
      </c>
      <c r="F184" s="147">
        <f ca="1">-IF(AND(F$70&gt;Assumptions!$E$5,F$70&lt;=Assumptions!$F$5),'Sources&amp;Uses'!$G21/ROUNDUP(Assumptions!$F$2/12,0),0)</f>
        <v>-9313988.7181176022</v>
      </c>
      <c r="G184" s="147">
        <f ca="1">-IF(AND(G$70&gt;Assumptions!$E$5,G$70&lt;=Assumptions!$F$5),'Sources&amp;Uses'!$G21/ROUNDUP(Assumptions!$F$2/12,0),0)</f>
        <v>-9313988.7181176022</v>
      </c>
      <c r="H184" s="147">
        <f ca="1">-IF(AND(H$70&gt;Assumptions!$E$5,H$70&lt;=Assumptions!$F$5),'Sources&amp;Uses'!$G21/ROUNDUP(Assumptions!$F$2/12,0),0)</f>
        <v>-9313988.7181176022</v>
      </c>
      <c r="I184" s="147">
        <f>-IF(AND(I$70&gt;Assumptions!$E$5,I$70&lt;=Assumptions!$F$5),'Sources&amp;Uses'!$G21/ROUNDUP(Assumptions!$F$2/12,0),0)</f>
        <v>0</v>
      </c>
      <c r="J184" s="147">
        <f>-IF(AND(J$70&gt;Assumptions!$E$5,J$70&lt;=Assumptions!$F$5),'Sources&amp;Uses'!$G21/ROUNDUP(Assumptions!$F$2/12,0),0)</f>
        <v>0</v>
      </c>
      <c r="K184" s="147">
        <f>-IF(AND(K$70&gt;Assumptions!$E$5,K$70&lt;=Assumptions!$F$5),'Sources&amp;Uses'!$G21/ROUNDUP(Assumptions!$F$2/12,0),0)</f>
        <v>0</v>
      </c>
      <c r="L184" s="147">
        <f>-IF(AND(L$70&gt;Assumptions!$E$5,L$70&lt;=Assumptions!$F$5),'Sources&amp;Uses'!$G21/ROUNDUP(Assumptions!$F$2/12,0),0)</f>
        <v>0</v>
      </c>
      <c r="M184" s="147">
        <f>-IF(AND(M$70&gt;Assumptions!$E$5,M$70&lt;=Assumptions!$F$5),'Sources&amp;Uses'!$G21/ROUNDUP(Assumptions!$F$2/12,0),0)</f>
        <v>0</v>
      </c>
      <c r="N184" s="147">
        <f>-IF(AND(N$70&gt;Assumptions!$E$5,N$70&lt;=Assumptions!$F$5),'Sources&amp;Uses'!$G21/ROUNDUP(Assumptions!$F$2/12,0),0)</f>
        <v>0</v>
      </c>
      <c r="O184" s="147">
        <f>-IF(AND(O$70&gt;Assumptions!$E$5,O$70&lt;=Assumptions!$F$5),'Sources&amp;Uses'!$G21/ROUNDUP(Assumptions!$F$2/12,0),0)</f>
        <v>0</v>
      </c>
      <c r="P184" s="147">
        <f>-IF(AND(P$70&gt;Assumptions!$E$5,P$70&lt;=Assumptions!$F$5),'Sources&amp;Uses'!$G21/ROUNDUP(Assumptions!$F$2/12,0),0)</f>
        <v>0</v>
      </c>
      <c r="Q184" s="147">
        <f>-IF(AND(Q$70&gt;Assumptions!$E$5,Q$70&lt;=Assumptions!$F$5),'Sources&amp;Uses'!$G21/ROUNDUP(Assumptions!$F$2/12,0),0)</f>
        <v>0</v>
      </c>
      <c r="R184" s="147">
        <f>-IF(AND(R$70&gt;Assumptions!$E$5,R$70&lt;=Assumptions!$F$5),'Sources&amp;Uses'!$G21/ROUNDUP(Assumptions!$F$2/12,0),0)</f>
        <v>0</v>
      </c>
    </row>
    <row r="185" spans="2:18">
      <c r="B185" s="123" t="s">
        <v>22</v>
      </c>
      <c r="C185" s="147">
        <f t="shared" si="142"/>
        <v>-333333.33333333331</v>
      </c>
      <c r="D185" s="147">
        <f>-IF(AND(D$70&gt;Assumptions!$E$5,D$70&lt;=Assumptions!$F$5),'Sources&amp;Uses'!$G$22/ROUNDUP(Assumptions!$F$2/12,0),0)</f>
        <v>0</v>
      </c>
      <c r="E185" s="147">
        <f>-IF(AND(E$70&gt;Assumptions!$E$5,E$70&lt;=Assumptions!$F$5),'Sources&amp;Uses'!$G$22/ROUNDUP(Assumptions!$F$2/12,0),0)</f>
        <v>0</v>
      </c>
      <c r="F185" s="147">
        <f>-IF(AND(F$70&gt;Assumptions!$E$5,F$70&lt;=Assumptions!$F$5),'Sources&amp;Uses'!$G$22/ROUNDUP(Assumptions!$F$2/12,0),0)</f>
        <v>-111111.11111111111</v>
      </c>
      <c r="G185" s="147">
        <f>-IF(AND(G$70&gt;Assumptions!$E$5,G$70&lt;=Assumptions!$F$5),'Sources&amp;Uses'!$G$22/ROUNDUP(Assumptions!$F$2/12,0),0)</f>
        <v>-111111.11111111111</v>
      </c>
      <c r="H185" s="147">
        <f>-IF(AND(H$70&gt;Assumptions!$E$5,H$70&lt;=Assumptions!$F$5),'Sources&amp;Uses'!$G$22/ROUNDUP(Assumptions!$F$2/12,0),0)</f>
        <v>-111111.11111111111</v>
      </c>
      <c r="I185" s="147">
        <f>-IF(AND(I$70&gt;Assumptions!$E$5,I$70&lt;=Assumptions!$F$5),'Sources&amp;Uses'!$G$22/ROUNDUP(Assumptions!$F$2/12,0),0)</f>
        <v>0</v>
      </c>
      <c r="J185" s="147">
        <f>-IF(AND(J$70&gt;Assumptions!$E$5,J$70&lt;=Assumptions!$F$5),'Sources&amp;Uses'!$G$22/ROUNDUP(Assumptions!$F$2/12,0),0)</f>
        <v>0</v>
      </c>
      <c r="K185" s="147">
        <f>-IF(AND(K$70&gt;Assumptions!$E$5,K$70&lt;=Assumptions!$F$5),'Sources&amp;Uses'!$G$22/ROUNDUP(Assumptions!$F$2/12,0),0)</f>
        <v>0</v>
      </c>
      <c r="L185" s="147">
        <f>-IF(AND(L$70&gt;Assumptions!$E$5,L$70&lt;=Assumptions!$F$5),'Sources&amp;Uses'!$G$22/ROUNDUP(Assumptions!$F$2/12,0),0)</f>
        <v>0</v>
      </c>
      <c r="M185" s="147">
        <f>-IF(AND(M$70&gt;Assumptions!$E$5,M$70&lt;=Assumptions!$F$5),'Sources&amp;Uses'!$G$22/ROUNDUP(Assumptions!$F$2/12,0),0)</f>
        <v>0</v>
      </c>
      <c r="N185" s="147">
        <f>-IF(AND(N$70&gt;Assumptions!$E$5,N$70&lt;=Assumptions!$F$5),'Sources&amp;Uses'!$G$22/ROUNDUP(Assumptions!$F$2/12,0),0)</f>
        <v>0</v>
      </c>
      <c r="O185" s="147">
        <f>-IF(AND(O$70&gt;Assumptions!$E$5,O$70&lt;=Assumptions!$F$5),'Sources&amp;Uses'!$G$22/ROUNDUP(Assumptions!$F$2/12,0),0)</f>
        <v>0</v>
      </c>
      <c r="P185" s="147">
        <f>-IF(AND(P$70&gt;Assumptions!$E$5,P$70&lt;=Assumptions!$F$5),'Sources&amp;Uses'!$G$22/ROUNDUP(Assumptions!$F$2/12,0),0)</f>
        <v>0</v>
      </c>
      <c r="Q185" s="147">
        <f>-IF(AND(Q$70&gt;Assumptions!$E$5,Q$70&lt;=Assumptions!$F$5),'Sources&amp;Uses'!$G$22/ROUNDUP(Assumptions!$F$2/12,0),0)</f>
        <v>0</v>
      </c>
      <c r="R185" s="147">
        <f>-IF(AND(R$70&gt;Assumptions!$E$5,R$70&lt;=Assumptions!$F$5),'Sources&amp;Uses'!$G$22/ROUNDUP(Assumptions!$F$2/12,0),0)</f>
        <v>0</v>
      </c>
    </row>
    <row r="186" spans="2:18">
      <c r="B186" s="123" t="s">
        <v>238</v>
      </c>
      <c r="C186" s="147">
        <f t="shared" ca="1" si="142"/>
        <v>-12868673.082512554</v>
      </c>
      <c r="D186" s="147">
        <f>-IF(AND(D$70&gt;Assumptions!$E$5,D$70&lt;=Assumptions!$F$5),'Sources&amp;Uses'!$G$23/ROUNDUP(Assumptions!$F$2/12,0),0)</f>
        <v>0</v>
      </c>
      <c r="E186" s="147">
        <f>-IF(AND(E$70&gt;Assumptions!$E$5,E$70&lt;=Assumptions!$F$5),'Sources&amp;Uses'!$G$23/ROUNDUP(Assumptions!$F$2/12,0),0)</f>
        <v>0</v>
      </c>
      <c r="F186" s="147">
        <f ca="1">-IF(AND(F$70&gt;Assumptions!$E$5,F$70&lt;=Assumptions!$F$5),'Sources&amp;Uses'!$G$23/ROUNDUP(Assumptions!$F$2/12,0),0)</f>
        <v>-4289557.6941708513</v>
      </c>
      <c r="G186" s="147">
        <f ca="1">-IF(AND(G$70&gt;Assumptions!$E$5,G$70&lt;=Assumptions!$F$5),'Sources&amp;Uses'!$G$23/ROUNDUP(Assumptions!$F$2/12,0),0)</f>
        <v>-4289557.6941708513</v>
      </c>
      <c r="H186" s="147">
        <f ca="1">-IF(AND(H$70&gt;Assumptions!$E$5,H$70&lt;=Assumptions!$F$5),'Sources&amp;Uses'!$G$23/ROUNDUP(Assumptions!$F$2/12,0),0)</f>
        <v>-4289557.6941708513</v>
      </c>
      <c r="I186" s="147">
        <f>-IF(AND(I$70&gt;Assumptions!$E$5,I$70&lt;=Assumptions!$F$5),'Sources&amp;Uses'!$G$23/ROUNDUP(Assumptions!$F$2/12,0),0)</f>
        <v>0</v>
      </c>
      <c r="J186" s="147">
        <f>-IF(AND(J$70&gt;Assumptions!$E$5,J$70&lt;=Assumptions!$F$5),'Sources&amp;Uses'!$G$23/ROUNDUP(Assumptions!$F$2/12,0),0)</f>
        <v>0</v>
      </c>
      <c r="K186" s="147">
        <f>-IF(AND(K$70&gt;Assumptions!$E$5,K$70&lt;=Assumptions!$F$5),'Sources&amp;Uses'!$G$23/ROUNDUP(Assumptions!$F$2/12,0),0)</f>
        <v>0</v>
      </c>
      <c r="L186" s="147">
        <f>-IF(AND(L$70&gt;Assumptions!$E$5,L$70&lt;=Assumptions!$F$5),'Sources&amp;Uses'!$G$23/ROUNDUP(Assumptions!$F$2/12,0),0)</f>
        <v>0</v>
      </c>
      <c r="M186" s="147">
        <f>-IF(AND(M$70&gt;Assumptions!$E$5,M$70&lt;=Assumptions!$F$5),'Sources&amp;Uses'!$G$23/ROUNDUP(Assumptions!$F$2/12,0),0)</f>
        <v>0</v>
      </c>
      <c r="N186" s="147">
        <f>-IF(AND(N$70&gt;Assumptions!$E$5,N$70&lt;=Assumptions!$F$5),'Sources&amp;Uses'!$G$23/ROUNDUP(Assumptions!$F$2/12,0),0)</f>
        <v>0</v>
      </c>
      <c r="O186" s="147">
        <f>-IF(AND(O$70&gt;Assumptions!$E$5,O$70&lt;=Assumptions!$F$5),'Sources&amp;Uses'!$G$23/ROUNDUP(Assumptions!$F$2/12,0),0)</f>
        <v>0</v>
      </c>
      <c r="P186" s="147">
        <f>-IF(AND(P$70&gt;Assumptions!$E$5,P$70&lt;=Assumptions!$F$5),'Sources&amp;Uses'!$G$23/ROUNDUP(Assumptions!$F$2/12,0),0)</f>
        <v>0</v>
      </c>
      <c r="Q186" s="147">
        <f>-IF(AND(Q$70&gt;Assumptions!$E$5,Q$70&lt;=Assumptions!$F$5),'Sources&amp;Uses'!$G$23/ROUNDUP(Assumptions!$F$2/12,0),0)</f>
        <v>0</v>
      </c>
      <c r="R186" s="147">
        <f>-IF(AND(R$70&gt;Assumptions!$E$5,R$70&lt;=Assumptions!$F$5),'Sources&amp;Uses'!$G$23/ROUNDUP(Assumptions!$F$2/12,0),0)</f>
        <v>0</v>
      </c>
    </row>
    <row r="187" spans="2:18">
      <c r="B187" s="125" t="s">
        <v>58</v>
      </c>
      <c r="C187" s="147">
        <f t="shared" ca="1" si="142"/>
        <v>-469766408.65395051</v>
      </c>
      <c r="D187" s="147">
        <f>SUM(D180:D186)</f>
        <v>0</v>
      </c>
      <c r="E187" s="147">
        <f t="shared" ref="E187:N187" si="143">SUM(E180:E186)</f>
        <v>0</v>
      </c>
      <c r="F187" s="147">
        <f t="shared" ca="1" si="143"/>
        <v>-156588802.88465017</v>
      </c>
      <c r="G187" s="147">
        <f t="shared" ca="1" si="143"/>
        <v>-156588802.88465017</v>
      </c>
      <c r="H187" s="147">
        <f t="shared" ca="1" si="143"/>
        <v>-156588802.88465017</v>
      </c>
      <c r="I187" s="147">
        <f t="shared" si="143"/>
        <v>0</v>
      </c>
      <c r="J187" s="147">
        <f t="shared" si="143"/>
        <v>0</v>
      </c>
      <c r="K187" s="147">
        <f t="shared" si="143"/>
        <v>0</v>
      </c>
      <c r="L187" s="147">
        <f t="shared" si="143"/>
        <v>0</v>
      </c>
      <c r="M187" s="147">
        <f t="shared" si="143"/>
        <v>0</v>
      </c>
      <c r="N187" s="147">
        <f t="shared" si="143"/>
        <v>0</v>
      </c>
      <c r="O187" s="147">
        <f t="shared" ref="O187" si="144">SUM(O180:O186)</f>
        <v>0</v>
      </c>
      <c r="P187" s="147">
        <f t="shared" ref="P187" si="145">SUM(P180:P186)</f>
        <v>0</v>
      </c>
      <c r="Q187" s="147">
        <f t="shared" ref="Q187" si="146">SUM(Q180:Q186)</f>
        <v>0</v>
      </c>
      <c r="R187" s="147">
        <f t="shared" ref="R187" si="147">SUM(R180:R186)</f>
        <v>0</v>
      </c>
    </row>
    <row r="188" spans="2:18">
      <c r="B188" s="125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</row>
    <row r="189" spans="2:18" ht="18">
      <c r="B189" s="302" t="s">
        <v>439</v>
      </c>
      <c r="C189" s="280"/>
      <c r="D189" s="285"/>
      <c r="E189" s="286"/>
      <c r="F189" s="286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</row>
    <row r="190" spans="2:18">
      <c r="B190" s="123" t="str">
        <f>'Sources&amp;Uses'!$C$3</f>
        <v>Equity</v>
      </c>
      <c r="C190" s="147">
        <f ca="1">-C187-SUM(C152:C157,C159)</f>
        <v>364487301.22617233</v>
      </c>
      <c r="D190" s="147">
        <f ca="1">MIN($C$190,-'Phase II Pro Forma'!D187)</f>
        <v>0</v>
      </c>
      <c r="E190" s="147">
        <f ca="1">MIN($C$190-SUM($D$190:D190),-'Phase II Pro Forma'!E187)</f>
        <v>0</v>
      </c>
      <c r="F190" s="147">
        <f ca="1">MIN($C$190-SUM($D$190:E190),-'Phase II Pro Forma'!F187)</f>
        <v>156588802.88465017</v>
      </c>
      <c r="G190" s="147">
        <f ca="1">MIN($C$190-SUM($D$190:F190),-'Phase II Pro Forma'!G187)</f>
        <v>156588802.88465017</v>
      </c>
      <c r="H190" s="147">
        <f ca="1">MIN($C$190-SUM($D$190:G190),-'Phase II Pro Forma'!H187)</f>
        <v>51309695.456871986</v>
      </c>
      <c r="I190" s="147">
        <f ca="1">MIN($C$190-SUM($D$190:H190),-'Phase II Pro Forma'!I187)</f>
        <v>0</v>
      </c>
      <c r="J190" s="147">
        <f ca="1">MIN($C$190-SUM($D$190:I190),-'Phase II Pro Forma'!J187)</f>
        <v>0</v>
      </c>
      <c r="K190" s="147">
        <f ca="1">MIN($C$190-SUM($D$190:J190),-'Phase II Pro Forma'!K187)</f>
        <v>0</v>
      </c>
      <c r="L190" s="147">
        <f ca="1">MIN($C$190-SUM($D$190:K190),-'Phase II Pro Forma'!L187)</f>
        <v>0</v>
      </c>
      <c r="M190" s="147">
        <f ca="1">MIN($C$190-SUM($D$190:L190),-'Phase II Pro Forma'!M187)</f>
        <v>0</v>
      </c>
      <c r="N190" s="147">
        <f ca="1">MIN($C$190-SUM($D$190:M190),-'Phase II Pro Forma'!N187)</f>
        <v>0</v>
      </c>
      <c r="O190" s="147">
        <f ca="1">MIN($C$190-SUM($D$190:N190),-'Phase II Pro Forma'!O187)</f>
        <v>0</v>
      </c>
      <c r="P190" s="147">
        <f ca="1">MIN($C$190-SUM($D$190:O190),-'Phase II Pro Forma'!P187)</f>
        <v>0</v>
      </c>
      <c r="Q190" s="147">
        <f ca="1">MIN($C$190-SUM($D$190:P190),-'Phase II Pro Forma'!Q187)</f>
        <v>0</v>
      </c>
      <c r="R190" s="147">
        <f ca="1">MIN($C$190-SUM($D$190:Q190),-'Phase II Pro Forma'!R187)</f>
        <v>0</v>
      </c>
    </row>
    <row r="191" spans="2:18">
      <c r="B191" s="123" t="str">
        <f>'Sources&amp;Uses'!$C$4</f>
        <v>PPP - City of Oakland/Alameda County</v>
      </c>
      <c r="C191" s="147">
        <f ca="1">SUM(D191:N191)</f>
        <v>23115787.925333332</v>
      </c>
      <c r="D191" s="147">
        <f ca="1">MIN('Sources&amp;Uses'!$G$4,-'Phase II Pro Forma'!D$187-SUM('Phase II Pro Forma'!D$190:'Phase II Pro Forma'!D190))</f>
        <v>0</v>
      </c>
      <c r="E191" s="147">
        <f ca="1">MIN('Sources&amp;Uses'!$G$4-SUM($D$191:D$191),-'Phase II Pro Forma'!E$187-SUM('Phase II Pro Forma'!E$190:'Phase II Pro Forma'!E190))</f>
        <v>0</v>
      </c>
      <c r="F191" s="147">
        <f ca="1">MIN('Sources&amp;Uses'!$F$4-SUM($D$191:E$191),-'Phase II Pro Forma'!F$187-SUM('Phase II Pro Forma'!F$190:'Phase II Pro Forma'!F190))</f>
        <v>0</v>
      </c>
      <c r="G191" s="147">
        <f ca="1">MIN('Sources&amp;Uses'!$F$4-SUM($D$191:F$191),-'Phase II Pro Forma'!G$187-SUM('Phase II Pro Forma'!G$190:'Phase II Pro Forma'!G190))</f>
        <v>0</v>
      </c>
      <c r="H191" s="147">
        <f ca="1">MIN('Sources&amp;Uses'!$F$4-SUM($D$191:G$191),-'Phase II Pro Forma'!H$187-SUM('Phase II Pro Forma'!H$190:'Phase II Pro Forma'!H190))</f>
        <v>23115787.925333332</v>
      </c>
      <c r="I191" s="147">
        <f ca="1">MIN('Sources&amp;Uses'!$F$4-SUM($D$191:H$191),-'Phase II Pro Forma'!I$187-SUM('Phase II Pro Forma'!I$190:'Phase II Pro Forma'!I190))</f>
        <v>0</v>
      </c>
      <c r="J191" s="147">
        <f ca="1">MIN('Sources&amp;Uses'!$F$4-SUM($D$191:I$191),-'Phase II Pro Forma'!J$190-SUM('Phase II Pro Forma'!J$190:'Phase II Pro Forma'!J190))</f>
        <v>0</v>
      </c>
      <c r="K191" s="147">
        <f ca="1">MIN('Sources&amp;Uses'!$F$4-SUM($D$191:J$191),-'Phase II Pro Forma'!K$187-SUM('Phase II Pro Forma'!K$190:'Phase II Pro Forma'!K190))</f>
        <v>0</v>
      </c>
      <c r="L191" s="147">
        <f ca="1">MIN('Sources&amp;Uses'!$F$4-SUM($D$191:K$191),-'Phase II Pro Forma'!L$187-SUM('Phase II Pro Forma'!L$190:'Phase II Pro Forma'!L190))</f>
        <v>0</v>
      </c>
      <c r="M191" s="147">
        <f ca="1">MIN('Sources&amp;Uses'!$F$4-SUM($D$191:L$191),-'Phase II Pro Forma'!M$187-SUM('Phase II Pro Forma'!M$190:'Phase II Pro Forma'!M190))</f>
        <v>0</v>
      </c>
      <c r="N191" s="147">
        <f ca="1">MIN('Sources&amp;Uses'!$F$4-SUM($D$191:M$191),-'Phase II Pro Forma'!N$187-SUM('Phase II Pro Forma'!N$190:'Phase II Pro Forma'!N190))</f>
        <v>0</v>
      </c>
      <c r="O191" s="147">
        <f ca="1">MIN('Sources&amp;Uses'!$F$4-SUM($D$191:N$191),-'Phase II Pro Forma'!O$187-SUM('Phase II Pro Forma'!O$190:'Phase II Pro Forma'!O190))</f>
        <v>0</v>
      </c>
      <c r="P191" s="147">
        <f ca="1">MIN('Sources&amp;Uses'!$F$4-SUM($D$191:O$191),-'Phase II Pro Forma'!P$187-SUM('Phase II Pro Forma'!P$190:'Phase II Pro Forma'!P190))</f>
        <v>0</v>
      </c>
      <c r="Q191" s="147">
        <f ca="1">MIN('Sources&amp;Uses'!$F$4-SUM($D$191:P$191),-'Phase II Pro Forma'!Q$187-SUM('Phase II Pro Forma'!Q$190:'Phase II Pro Forma'!Q190))</f>
        <v>0</v>
      </c>
      <c r="R191" s="147">
        <f ca="1">MIN('Sources&amp;Uses'!$F$4-SUM($D$191:Q$191),-'Phase II Pro Forma'!R$187-SUM('Phase II Pro Forma'!R$190:'Phase II Pro Forma'!R190))</f>
        <v>0</v>
      </c>
    </row>
    <row r="192" spans="2:18">
      <c r="B192" s="123" t="str">
        <f>'Sources&amp;Uses'!$C$5</f>
        <v>PPP - Private Partners</v>
      </c>
      <c r="C192" s="147">
        <f ca="1">SUM(D192:N192)</f>
        <v>4905375</v>
      </c>
      <c r="D192" s="147">
        <f ca="1">MIN('Sources&amp;Uses'!$G$5,-'Phase II Pro Forma'!D$187-SUM('Phase II Pro Forma'!D$190:'Phase II Pro Forma'!D191))</f>
        <v>0</v>
      </c>
      <c r="E192" s="147">
        <f ca="1">MIN('Sources&amp;Uses'!$G$5-SUM($D$192:D$192),-'Phase II Pro Forma'!E$148-SUM('Phase II Pro Forma'!E$190:'Phase II Pro Forma'!E191))</f>
        <v>3295250.6124999998</v>
      </c>
      <c r="F192" s="147">
        <f ca="1">MIN('Sources&amp;Uses'!$F$5-SUM($D$192:E192),-'Phase II Pro Forma'!F$148-SUM('Phase II Pro Forma'!F$151:'Phase II Pro Forma'!F191))</f>
        <v>1610124.3875000002</v>
      </c>
      <c r="G192" s="147">
        <f ca="1">MIN('Sources&amp;Uses'!$F$5-SUM($D$192:F192),-'Phase II Pro Forma'!G$187-SUM('Phase II Pro Forma'!G$190:'Phase II Pro Forma'!G191))</f>
        <v>0</v>
      </c>
      <c r="H192" s="147">
        <f ca="1">MIN('Sources&amp;Uses'!$F$5-SUM($D$192:G192),-'Phase II Pro Forma'!H$187-SUM('Phase II Pro Forma'!H$190:'Phase II Pro Forma'!H191))</f>
        <v>0</v>
      </c>
      <c r="I192" s="147">
        <f ca="1">MIN('Sources&amp;Uses'!$F$5-SUM($D$192:H192),-'Phase II Pro Forma'!I$187-SUM('Phase II Pro Forma'!I$190:'Phase II Pro Forma'!I191))</f>
        <v>0</v>
      </c>
      <c r="J192" s="147">
        <f ca="1">MIN('Sources&amp;Uses'!$F$5-SUM($D$192:I192),-'Phase II Pro Forma'!J$187-SUM('Phase II Pro Forma'!J$190:'Phase II Pro Forma'!J191))</f>
        <v>0</v>
      </c>
      <c r="K192" s="147">
        <f ca="1">MIN('Sources&amp;Uses'!$F$5-SUM($D$192:J192),-'Phase II Pro Forma'!K$187-SUM('Phase II Pro Forma'!K$190:'Phase II Pro Forma'!K191))</f>
        <v>0</v>
      </c>
      <c r="L192" s="147">
        <f ca="1">MIN('Sources&amp;Uses'!$F$5-SUM($D$192:K192),-'Phase II Pro Forma'!L$187-SUM('Phase II Pro Forma'!L$190:'Phase II Pro Forma'!L191))</f>
        <v>0</v>
      </c>
      <c r="M192" s="147">
        <f ca="1">MIN('Sources&amp;Uses'!$F$5-SUM($D$192:L192),-'Phase II Pro Forma'!M$187-SUM('Phase II Pro Forma'!M$190:'Phase II Pro Forma'!M191))</f>
        <v>0</v>
      </c>
      <c r="N192" s="147">
        <f ca="1">MIN('Sources&amp;Uses'!$F$5-SUM($D$192:M192),-'Phase II Pro Forma'!N$187-SUM('Phase II Pro Forma'!N$190:'Phase II Pro Forma'!N191))</f>
        <v>0</v>
      </c>
      <c r="O192" s="147">
        <f ca="1">MIN('Sources&amp;Uses'!$F$5-SUM($D$192:N192),-'Phase II Pro Forma'!O$187-SUM('Phase II Pro Forma'!O$190:'Phase II Pro Forma'!O191))</f>
        <v>0</v>
      </c>
      <c r="P192" s="147">
        <f ca="1">MIN('Sources&amp;Uses'!$F$5-SUM($D$192:O192),-'Phase II Pro Forma'!P$187-SUM('Phase II Pro Forma'!P$190:'Phase II Pro Forma'!P191))</f>
        <v>0</v>
      </c>
      <c r="Q192" s="147">
        <f ca="1">MIN('Sources&amp;Uses'!$F$5-SUM($D$192:P192),-'Phase II Pro Forma'!Q$187-SUM('Phase II Pro Forma'!Q$190:'Phase II Pro Forma'!Q191))</f>
        <v>0</v>
      </c>
      <c r="R192" s="147">
        <f ca="1">MIN('Sources&amp;Uses'!$F$5-SUM($D$192:Q192),-'Phase II Pro Forma'!R$187-SUM('Phase II Pro Forma'!R$190:'Phase II Pro Forma'!R191))</f>
        <v>0</v>
      </c>
    </row>
    <row r="193" spans="2:18">
      <c r="B193" s="123" t="str">
        <f>'Sources&amp;Uses'!$C$6</f>
        <v xml:space="preserve">LIHTC </v>
      </c>
      <c r="C193" s="147">
        <f ca="1">SUM(D193:N193)</f>
        <v>61986317.548235297</v>
      </c>
      <c r="D193" s="147">
        <f ca="1">MIN('Sources&amp;Uses'!$G$6,-'Phase II Pro Forma'!D$187-SUM(D190:D192))</f>
        <v>0</v>
      </c>
      <c r="E193" s="147">
        <f ca="1">MIN('Sources&amp;Uses'!$G$6-SUM(D$193),-'Phase II Pro Forma'!E$187-SUM(E190:E192))</f>
        <v>-3295250.6124999998</v>
      </c>
      <c r="F193" s="147">
        <f ca="1">MIN('Sources&amp;Uses'!$F$6-SUM($D$193:E193),-'Phase II Pro Forma'!F$187-SUM(F190:F192))</f>
        <v>-1610124.3874999881</v>
      </c>
      <c r="G193" s="147">
        <f ca="1">MIN('Sources&amp;Uses'!$F$6-SUM($D$193:F193),-'Phase II Pro Forma'!G$187-SUM(G190:G192))</f>
        <v>0</v>
      </c>
      <c r="H193" s="147">
        <f ca="1">MIN('Sources&amp;Uses'!$F$6-SUM($D$193:G193),-'Phase II Pro Forma'!H$187-SUM(H190:H192))</f>
        <v>66891692.548235282</v>
      </c>
      <c r="I193" s="147">
        <f ca="1">MIN('Sources&amp;Uses'!$F$6-SUM($D$193:H193),-'Phase II Pro Forma'!I$187-SUM(I190:I192))</f>
        <v>0</v>
      </c>
      <c r="J193" s="147">
        <f ca="1">MIN('Sources&amp;Uses'!$F$6-SUM($D$193:I193),-'Phase II Pro Forma'!J$187-SUM(J190:J192))</f>
        <v>0</v>
      </c>
      <c r="K193" s="147">
        <f ca="1">MIN('Sources&amp;Uses'!$F$6-SUM($D$193:J193),-'Phase II Pro Forma'!K$187-SUM(K190:K192))</f>
        <v>0</v>
      </c>
      <c r="L193" s="147">
        <f ca="1">MIN('Sources&amp;Uses'!$F$6-SUM($D$193:K193),-'Phase II Pro Forma'!L$187-SUM(L190:L192))</f>
        <v>0</v>
      </c>
      <c r="M193" s="147">
        <f ca="1">MIN('Sources&amp;Uses'!$F$6-SUM($D$193:L193),-'Phase II Pro Forma'!M$187-SUM(M190:M192))</f>
        <v>0</v>
      </c>
      <c r="N193" s="147">
        <f ca="1">MIN('Sources&amp;Uses'!$F$6-SUM($D$193:M193),-'Phase II Pro Forma'!N$187-SUM(N190:N192))</f>
        <v>0</v>
      </c>
      <c r="O193" s="147">
        <f ca="1">MIN('Sources&amp;Uses'!$F$6-SUM($D$193:N193),-'Phase II Pro Forma'!O$187-SUM(O190:O192))</f>
        <v>0</v>
      </c>
      <c r="P193" s="147">
        <f ca="1">MIN('Sources&amp;Uses'!$F$6-SUM($D$193:O193),-'Phase II Pro Forma'!P$187-SUM(P190:P192))</f>
        <v>0</v>
      </c>
      <c r="Q193" s="147">
        <f ca="1">MIN('Sources&amp;Uses'!$F$6-SUM($D$193:P193),-'Phase II Pro Forma'!Q$187-SUM(Q190:Q192))</f>
        <v>0</v>
      </c>
      <c r="R193" s="147">
        <f ca="1">MIN('Sources&amp;Uses'!$F$6-SUM($D$193:Q193),-'Phase II Pro Forma'!R$187-SUM(R190:R192))</f>
        <v>0</v>
      </c>
    </row>
    <row r="194" spans="2:18">
      <c r="B194" s="123" t="str">
        <f>'Sources&amp;Uses'!$C$8</f>
        <v>CA TOD Housing Program (Infrastructure Grant)</v>
      </c>
      <c r="C194" s="147">
        <f ca="1">SUM(D194:N194)</f>
        <v>2500000</v>
      </c>
      <c r="D194" s="147">
        <f ca="1">MIN('Sources&amp;Uses'!$G$8,-'Phase II Pro Forma'!D$187-SUM(D190:D193))</f>
        <v>0</v>
      </c>
      <c r="E194" s="147">
        <f ca="1">MIN('Sources&amp;Uses'!$G$8-SUM($D$194:D194),-'Phase II Pro Forma'!E$187-SUM(E190:E193))</f>
        <v>0</v>
      </c>
      <c r="F194" s="147">
        <f ca="1">MIN('Sources&amp;Uses'!$F$8-SUM($D$194:E194),-'Phase II Pro Forma'!F$187-SUM(F190:F193))</f>
        <v>0</v>
      </c>
      <c r="G194" s="147">
        <f ca="1">MIN('Sources&amp;Uses'!$F$8-SUM($D$194:F194),-'Phase II Pro Forma'!G$187-SUM(G190:G193))</f>
        <v>0</v>
      </c>
      <c r="H194" s="147">
        <f ca="1">MIN('Sources&amp;Uses'!$F$8-SUM($D$194:G194),-'Phase II Pro Forma'!H$187-SUM(H190:H193))</f>
        <v>2500000</v>
      </c>
      <c r="I194" s="147">
        <f ca="1">MIN('Sources&amp;Uses'!$F$8-SUM($D$194:H194),-'Phase II Pro Forma'!I$187-SUM(I190:I193))</f>
        <v>0</v>
      </c>
      <c r="J194" s="147">
        <f ca="1">MIN('Sources&amp;Uses'!$F$8-SUM($D$194:I194),-'Phase II Pro Forma'!J$187-SUM(J190:J193))</f>
        <v>0</v>
      </c>
      <c r="K194" s="147">
        <f ca="1">MIN('Sources&amp;Uses'!$F$8-SUM($D$194:J194),-'Phase II Pro Forma'!K$187-SUM(K190:K193))</f>
        <v>0</v>
      </c>
      <c r="L194" s="147">
        <f ca="1">MIN('Sources&amp;Uses'!$F$8-SUM($D$194:K194),-'Phase II Pro Forma'!L$187-SUM(L190:L193))</f>
        <v>0</v>
      </c>
      <c r="M194" s="147">
        <f ca="1">MIN('Sources&amp;Uses'!$F$8-SUM($D$194:L194),-'Phase II Pro Forma'!M$187-SUM(M190:M193))</f>
        <v>0</v>
      </c>
      <c r="N194" s="147">
        <f ca="1">MIN('Sources&amp;Uses'!$F$8-SUM($D$194:M194),-'Phase II Pro Forma'!N$187-SUM(N190:N193))</f>
        <v>0</v>
      </c>
      <c r="O194" s="147">
        <f ca="1">MIN('Sources&amp;Uses'!$F$8-SUM($D$194:N194),-'Phase II Pro Forma'!O$187-SUM(O190:O193))</f>
        <v>0</v>
      </c>
      <c r="P194" s="147">
        <f ca="1">MIN('Sources&amp;Uses'!$F$8-SUM($D$194:O194),-'Phase II Pro Forma'!P$187-SUM(P190:P193))</f>
        <v>0</v>
      </c>
      <c r="Q194" s="147">
        <f ca="1">MIN('Sources&amp;Uses'!$F$8-SUM($D$194:P194),-'Phase II Pro Forma'!Q$187-SUM(Q190:Q193))</f>
        <v>0</v>
      </c>
      <c r="R194" s="147">
        <f ca="1">MIN('Sources&amp;Uses'!$F$8-SUM($D$194:Q194),-'Phase II Pro Forma'!R$187-SUM(R190:R193))</f>
        <v>0</v>
      </c>
    </row>
    <row r="195" spans="2:18">
      <c r="B195" s="123">
        <f>'Sources&amp;Uses'!$C$9</f>
        <v>0</v>
      </c>
      <c r="C195" s="147">
        <f ca="1">SUM(D195:N195)</f>
        <v>0</v>
      </c>
      <c r="D195" s="147">
        <f ca="1">MIN('Sources&amp;Uses'!$G$9,-'Phase II Pro Forma'!D$187-SUM(D190:D194))</f>
        <v>0</v>
      </c>
      <c r="E195" s="147">
        <f ca="1">MIN('Sources&amp;Uses'!$G$9-SUM($D$195:D195),-'Phase II Pro Forma'!E$187-SUM(E190:E194))</f>
        <v>0</v>
      </c>
      <c r="F195" s="147">
        <f ca="1">MIN('Sources&amp;Uses'!$F$9-SUM($D$195:E195),-'Phase II Pro Forma'!F$187-SUM(F190:F194))</f>
        <v>0</v>
      </c>
      <c r="G195" s="147">
        <f ca="1">MIN('Sources&amp;Uses'!$F$9-SUM($D$195:F195),-'Phase II Pro Forma'!G$187-SUM(G190:G194))</f>
        <v>0</v>
      </c>
      <c r="H195" s="147">
        <f ca="1">MIN('Sources&amp;Uses'!$F$9-SUM($D$195:G195),-'Phase II Pro Forma'!H$187-SUM(H190:H194))</f>
        <v>0</v>
      </c>
      <c r="I195" s="147">
        <f ca="1">MIN('Sources&amp;Uses'!$F$9-SUM($D$195:H195),-'Phase II Pro Forma'!I$187-SUM(I190:I194))</f>
        <v>0</v>
      </c>
      <c r="J195" s="147">
        <f ca="1">MIN('Sources&amp;Uses'!$F$9-SUM($D$195:I195),-'Phase II Pro Forma'!J$187-SUM(J190:J194))</f>
        <v>0</v>
      </c>
      <c r="K195" s="147">
        <f ca="1">MIN('Sources&amp;Uses'!$F$9-SUM($D$195:J195),-'Phase II Pro Forma'!K$187-SUM(K190:K194))</f>
        <v>0</v>
      </c>
      <c r="L195" s="147">
        <f ca="1">MIN('Sources&amp;Uses'!$F$9-SUM($D$195:K195),-'Phase II Pro Forma'!L$187-SUM(L190:L194))</f>
        <v>0</v>
      </c>
      <c r="M195" s="147">
        <f ca="1">MIN('Sources&amp;Uses'!$F$9-SUM($D$195:L195),-'Phase II Pro Forma'!M$187-SUM(M190:M194))</f>
        <v>0</v>
      </c>
      <c r="N195" s="147">
        <f ca="1">MIN('Sources&amp;Uses'!$F$9-SUM($D$195:M195),-'Phase II Pro Forma'!N$187-SUM(N190:N194))</f>
        <v>0</v>
      </c>
      <c r="O195" s="147">
        <f ca="1">MIN('Sources&amp;Uses'!$F$9-SUM($D$195:N195),-'Phase II Pro Forma'!O$187-SUM(O190:O194))</f>
        <v>0</v>
      </c>
      <c r="P195" s="147">
        <f ca="1">MIN('Sources&amp;Uses'!$F$9-SUM($D$195:O195),-'Phase II Pro Forma'!P$187-SUM(P190:P194))</f>
        <v>0</v>
      </c>
      <c r="Q195" s="147">
        <f ca="1">MIN('Sources&amp;Uses'!$F$9-SUM($D$195:P195),-'Phase II Pro Forma'!Q$187-SUM(Q190:Q194))</f>
        <v>0</v>
      </c>
      <c r="R195" s="147">
        <f ca="1">MIN('Sources&amp;Uses'!$F$9-SUM($D$195:Q195),-'Phase II Pro Forma'!R$187-SUM(R190:R194))</f>
        <v>0</v>
      </c>
    </row>
    <row r="196" spans="2:18">
      <c r="B196" s="123" t="str">
        <f>'Sources&amp;Uses'!$C$10</f>
        <v>CA Strategic Growth Council (Aff Housing and Sustainable Communities)</v>
      </c>
      <c r="C196" s="147">
        <f ca="1">SUM(D196:N196)</f>
        <v>4500000</v>
      </c>
      <c r="D196" s="147">
        <f ca="1">MIN('Sources&amp;Uses'!$G$10,-'Phase II Pro Forma'!D$187-SUM(D190:D195))</f>
        <v>0</v>
      </c>
      <c r="E196" s="147">
        <f ca="1">MIN('Sources&amp;Uses'!$G$10-SUM($D$196:D196),-'Phase II Pro Forma'!E$187-SUM(E190:E195))</f>
        <v>0</v>
      </c>
      <c r="F196" s="147">
        <f ca="1">MIN('Sources&amp;Uses'!$F$10-SUM($D$196:E196),-'Phase II Pro Forma'!F$187-SUM(F190:F195))</f>
        <v>0</v>
      </c>
      <c r="G196" s="147">
        <f ca="1">MIN('Sources&amp;Uses'!$F$10-SUM($D$196:F196),-'Phase II Pro Forma'!G$187-SUM(G190:G195))</f>
        <v>0</v>
      </c>
      <c r="H196" s="147">
        <f ca="1">MIN('Sources&amp;Uses'!$F$10-SUM($D$196:G196),-'Phase II Pro Forma'!H$187-SUM(H190:H195))</f>
        <v>4500000</v>
      </c>
      <c r="I196" s="147">
        <f ca="1">MIN('Sources&amp;Uses'!$F$10-SUM($D$196:H196),-'Phase II Pro Forma'!I$187-SUM(I190:I195))</f>
        <v>0</v>
      </c>
      <c r="J196" s="147">
        <f ca="1">MIN('Sources&amp;Uses'!$F$10-SUM($D$196:I196),-'Phase II Pro Forma'!J$187-SUM(J190:J195))</f>
        <v>0</v>
      </c>
      <c r="K196" s="147">
        <f ca="1">MIN('Sources&amp;Uses'!$F$10-SUM($D$196:J196),-'Phase II Pro Forma'!K$187-SUM(K190:K195))</f>
        <v>0</v>
      </c>
      <c r="L196" s="147">
        <f ca="1">MIN('Sources&amp;Uses'!$F$10-SUM($D$196:K196),-'Phase II Pro Forma'!L$187-SUM(L190:L195))</f>
        <v>0</v>
      </c>
      <c r="M196" s="147">
        <f ca="1">MIN('Sources&amp;Uses'!$F$10-SUM($D$196:L196),-'Phase II Pro Forma'!M$187-SUM(M190:M195))</f>
        <v>0</v>
      </c>
      <c r="N196" s="147">
        <f ca="1">MIN('Sources&amp;Uses'!$F$10-SUM($D$196:M196),-'Phase II Pro Forma'!N$187-SUM(N190:N195))</f>
        <v>0</v>
      </c>
      <c r="O196" s="147">
        <f ca="1">MIN('Sources&amp;Uses'!$F$10-SUM($D$196:N196),-'Phase II Pro Forma'!O$187-SUM(O190:O195))</f>
        <v>0</v>
      </c>
      <c r="P196" s="147">
        <f ca="1">MIN('Sources&amp;Uses'!$F$10-SUM($D$196:O196),-'Phase II Pro Forma'!P$187-SUM(P190:P195))</f>
        <v>0</v>
      </c>
      <c r="Q196" s="147">
        <f ca="1">MIN('Sources&amp;Uses'!$F$10-SUM($D$196:P196),-'Phase II Pro Forma'!Q$187-SUM(Q190:Q195))</f>
        <v>0</v>
      </c>
      <c r="R196" s="147">
        <f ca="1">MIN('Sources&amp;Uses'!$F$10-SUM($D$196:Q196),-'Phase II Pro Forma'!R$187-SUM(R190:R195))</f>
        <v>0</v>
      </c>
    </row>
    <row r="197" spans="2:18">
      <c r="B197" s="123" t="str">
        <f>'Sources&amp;Uses'!$C$11</f>
        <v>Senior Construction Loan</v>
      </c>
      <c r="C197" s="147">
        <f>SUM(D197:N197)</f>
        <v>0</v>
      </c>
      <c r="D197" s="147">
        <v>0</v>
      </c>
      <c r="E197" s="147">
        <v>0</v>
      </c>
      <c r="F197" s="147">
        <v>0</v>
      </c>
      <c r="G197" s="147">
        <v>0</v>
      </c>
      <c r="H197" s="147">
        <v>0</v>
      </c>
      <c r="I197" s="147">
        <v>0</v>
      </c>
      <c r="J197" s="147">
        <v>0</v>
      </c>
      <c r="K197" s="147">
        <v>0</v>
      </c>
      <c r="L197" s="147">
        <v>0</v>
      </c>
      <c r="M197" s="147">
        <v>0</v>
      </c>
      <c r="N197" s="147">
        <v>0</v>
      </c>
      <c r="O197" s="147">
        <v>0</v>
      </c>
      <c r="P197" s="147">
        <v>0</v>
      </c>
      <c r="Q197" s="147">
        <v>0</v>
      </c>
      <c r="R197" s="147">
        <v>0</v>
      </c>
    </row>
    <row r="198" spans="2:18">
      <c r="B198" s="123" t="str">
        <f>'Sources&amp;Uses'!$C$12</f>
        <v>TIF Loan</v>
      </c>
      <c r="C198" s="147">
        <f ca="1">SUM(D198:N198)</f>
        <v>8271626.9542095661</v>
      </c>
      <c r="D198" s="147">
        <f ca="1">MIN('Sources&amp;Uses'!$G$12,-'Phase II Pro Forma'!D$187-SUM(D190:D197))</f>
        <v>0</v>
      </c>
      <c r="E198" s="147">
        <f ca="1">MIN('Sources&amp;Uses'!$G$12-SUM($D$198:D198),-'Phase II Pro Forma'!E$187-SUM(E190:E197))</f>
        <v>0</v>
      </c>
      <c r="F198" s="147">
        <f ca="1">MIN('Sources&amp;Uses'!$F$12-SUM($D$198:E198),-'Phase II Pro Forma'!F$187-SUM(F190:F197))</f>
        <v>0</v>
      </c>
      <c r="G198" s="147">
        <f ca="1">MIN('Sources&amp;Uses'!$F$12-SUM($D$198:F198),-'Phase II Pro Forma'!G$187-SUM(G190:G197))</f>
        <v>0</v>
      </c>
      <c r="H198" s="147">
        <f ca="1">MIN('Sources&amp;Uses'!$F$12-SUM($D$198:G198),-'Phase II Pro Forma'!H$187-SUM(H190:H197))</f>
        <v>8271626.9542095661</v>
      </c>
      <c r="I198" s="147">
        <f ca="1">MIN('Sources&amp;Uses'!$F$12-SUM($D$198:H198),-'Phase II Pro Forma'!I$187-SUM(I190:I197))</f>
        <v>0</v>
      </c>
      <c r="J198" s="147">
        <f ca="1">MIN('Sources&amp;Uses'!$F$12-SUM($D$198:I198),-'Phase II Pro Forma'!J$187-SUM(J190:J197))</f>
        <v>0</v>
      </c>
      <c r="K198" s="147">
        <f ca="1">MIN('Sources&amp;Uses'!$F$12-SUM($D$198:J198),-'Phase II Pro Forma'!K$187-SUM(K190:K197))</f>
        <v>0</v>
      </c>
      <c r="L198" s="147">
        <f ca="1">MIN('Sources&amp;Uses'!$F$12-SUM($D$198:K198),-'Phase II Pro Forma'!L$187-SUM(L190:L197))</f>
        <v>0</v>
      </c>
      <c r="M198" s="147">
        <f ca="1">MIN('Sources&amp;Uses'!$F$12-SUM($D$198:L198),-'Phase II Pro Forma'!M$187-SUM(M190:M197))</f>
        <v>0</v>
      </c>
      <c r="N198" s="147">
        <f ca="1">MIN('Sources&amp;Uses'!$F$12-SUM($D$198:M198),-'Phase II Pro Forma'!N$187-SUM(N190:N197))</f>
        <v>0</v>
      </c>
      <c r="O198" s="147">
        <f ca="1">MIN('Sources&amp;Uses'!$F$12-SUM($D$198:N198),-'Phase II Pro Forma'!O$187-SUM(O190:O197))</f>
        <v>0</v>
      </c>
      <c r="P198" s="147">
        <f ca="1">MIN('Sources&amp;Uses'!$F$12-SUM($D$198:O198),-'Phase II Pro Forma'!P$187-SUM(P190:P197))</f>
        <v>0</v>
      </c>
      <c r="Q198" s="147">
        <f ca="1">MIN('Sources&amp;Uses'!$F$12-SUM($D$198:P198),-'Phase II Pro Forma'!Q$187-SUM(Q190:Q197))</f>
        <v>0</v>
      </c>
      <c r="R198" s="147">
        <f ca="1">MIN('Sources&amp;Uses'!$F$12-SUM($D$198:Q198),-'Phase II Pro Forma'!R$187-SUM(R190:R197))</f>
        <v>0</v>
      </c>
    </row>
    <row r="199" spans="2:18">
      <c r="B199" s="125" t="s">
        <v>440</v>
      </c>
      <c r="C199" s="147">
        <f ca="1">SUM(D199:N199)</f>
        <v>469766408.65395051</v>
      </c>
      <c r="D199" s="147">
        <f ca="1">SUM(D190:D198)</f>
        <v>0</v>
      </c>
      <c r="E199" s="147">
        <f ca="1">SUM(E190:E198)</f>
        <v>0</v>
      </c>
      <c r="F199" s="147">
        <f ca="1">SUM(F190:F198)</f>
        <v>156588802.88465017</v>
      </c>
      <c r="G199" s="147">
        <f ca="1">SUM(G190:G198)</f>
        <v>156588802.88465017</v>
      </c>
      <c r="H199" s="147">
        <f ca="1">SUM(H190:H198)</f>
        <v>156588802.88465017</v>
      </c>
      <c r="I199" s="147">
        <f ca="1">SUM(I190:I198)</f>
        <v>0</v>
      </c>
      <c r="J199" s="147">
        <f ca="1">SUM(J190:J198)</f>
        <v>0</v>
      </c>
      <c r="K199" s="147">
        <f ca="1">SUM(K190:K198)</f>
        <v>0</v>
      </c>
      <c r="L199" s="147">
        <f ca="1">SUM(L190:L198)</f>
        <v>0</v>
      </c>
      <c r="M199" s="147">
        <f ca="1">SUM(M190:M198)</f>
        <v>0</v>
      </c>
      <c r="N199" s="147">
        <f ca="1">SUM(N190:N198)</f>
        <v>0</v>
      </c>
      <c r="O199" s="147">
        <f t="shared" ref="O199:R199" ca="1" si="148">SUM(O190:O198)</f>
        <v>0</v>
      </c>
      <c r="P199" s="147">
        <f t="shared" ca="1" si="148"/>
        <v>0</v>
      </c>
      <c r="Q199" s="147">
        <f t="shared" ca="1" si="148"/>
        <v>0</v>
      </c>
      <c r="R199" s="147">
        <f t="shared" ca="1" si="148"/>
        <v>0</v>
      </c>
    </row>
    <row r="200" spans="2:18">
      <c r="B200" s="125"/>
      <c r="C200" s="147"/>
      <c r="D200" s="34"/>
    </row>
    <row r="201" spans="2:18">
      <c r="B201" s="256" t="s">
        <v>441</v>
      </c>
      <c r="C201" s="147">
        <f ca="1">SUM(D201:N201)</f>
        <v>105279107.4277782</v>
      </c>
      <c r="D201" s="147">
        <f ca="1">D191+D192+D193+D195+D196+D198+D194</f>
        <v>0</v>
      </c>
      <c r="E201" s="147">
        <f t="shared" ref="E201:N201" ca="1" si="149">E191+E192+E193+E195+E196+E198+E194</f>
        <v>0</v>
      </c>
      <c r="F201" s="147">
        <f t="shared" ca="1" si="149"/>
        <v>1.2107193470001221E-8</v>
      </c>
      <c r="G201" s="147">
        <f t="shared" ca="1" si="149"/>
        <v>0</v>
      </c>
      <c r="H201" s="147">
        <f t="shared" ca="1" si="149"/>
        <v>105279107.42777818</v>
      </c>
      <c r="I201" s="147">
        <f t="shared" ca="1" si="149"/>
        <v>0</v>
      </c>
      <c r="J201" s="147">
        <f t="shared" ca="1" si="149"/>
        <v>0</v>
      </c>
      <c r="K201" s="147">
        <f t="shared" ca="1" si="149"/>
        <v>0</v>
      </c>
      <c r="L201" s="147">
        <f t="shared" ca="1" si="149"/>
        <v>0</v>
      </c>
      <c r="M201" s="147">
        <f t="shared" ca="1" si="149"/>
        <v>0</v>
      </c>
      <c r="N201" s="147">
        <f t="shared" ca="1" si="149"/>
        <v>0</v>
      </c>
      <c r="O201" s="147">
        <f t="shared" ref="O201:R201" ca="1" si="150">O191+O192+O193+O195+O196+O198+O194</f>
        <v>0</v>
      </c>
      <c r="P201" s="147">
        <f t="shared" ca="1" si="150"/>
        <v>0</v>
      </c>
      <c r="Q201" s="147">
        <f t="shared" ca="1" si="150"/>
        <v>0</v>
      </c>
      <c r="R201" s="147">
        <f t="shared" ca="1" si="150"/>
        <v>0</v>
      </c>
    </row>
    <row r="202" spans="2:18">
      <c r="B202" s="124"/>
      <c r="C202" s="296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</row>
    <row r="203" spans="2:18">
      <c r="B203" s="124"/>
      <c r="C203" s="296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</row>
    <row r="204" spans="2:18">
      <c r="B204" s="124" t="s">
        <v>443</v>
      </c>
      <c r="C204" s="147">
        <f ca="1">SUM(D204:N204)</f>
        <v>-364487301.22617233</v>
      </c>
      <c r="D204" s="147">
        <f ca="1">-D190</f>
        <v>0</v>
      </c>
      <c r="E204" s="147">
        <f t="shared" ref="E204:N204" ca="1" si="151">-E190</f>
        <v>0</v>
      </c>
      <c r="F204" s="147">
        <f t="shared" ca="1" si="151"/>
        <v>-156588802.88465017</v>
      </c>
      <c r="G204" s="147">
        <f t="shared" ca="1" si="151"/>
        <v>-156588802.88465017</v>
      </c>
      <c r="H204" s="147">
        <f t="shared" ca="1" si="151"/>
        <v>-51309695.456871986</v>
      </c>
      <c r="I204" s="147">
        <f t="shared" ca="1" si="151"/>
        <v>0</v>
      </c>
      <c r="J204" s="147">
        <f t="shared" ca="1" si="151"/>
        <v>0</v>
      </c>
      <c r="K204" s="147">
        <f t="shared" ca="1" si="151"/>
        <v>0</v>
      </c>
      <c r="L204" s="147">
        <f t="shared" ca="1" si="151"/>
        <v>0</v>
      </c>
      <c r="M204" s="147">
        <f t="shared" ca="1" si="151"/>
        <v>0</v>
      </c>
      <c r="N204" s="147">
        <f t="shared" ca="1" si="151"/>
        <v>0</v>
      </c>
      <c r="O204" s="147">
        <f t="shared" ref="O204:R204" ca="1" si="152">-O190</f>
        <v>0</v>
      </c>
      <c r="P204" s="147">
        <f t="shared" ca="1" si="152"/>
        <v>0</v>
      </c>
      <c r="Q204" s="147">
        <f t="shared" ca="1" si="152"/>
        <v>0</v>
      </c>
      <c r="R204" s="147">
        <f t="shared" ca="1" si="152"/>
        <v>0</v>
      </c>
    </row>
    <row r="205" spans="2:18" ht="17.100000000000001" thickBot="1">
      <c r="B205" s="125" t="s">
        <v>444</v>
      </c>
      <c r="C205" s="147">
        <f ca="1">SUM(D205:N205)</f>
        <v>612639258.15930974</v>
      </c>
      <c r="D205" s="147">
        <f ca="1">IF(D69&lt;=YEAR(Assumptions!$H$5),D176+D177,0)</f>
        <v>0</v>
      </c>
      <c r="E205" s="147">
        <f ca="1">IF(E69&lt;=YEAR(Assumptions!$H$5),E176+E177,0)</f>
        <v>0</v>
      </c>
      <c r="F205" s="147">
        <f ca="1">IF(F69&lt;=YEAR(Assumptions!$H$5),F176+F177,0)</f>
        <v>0</v>
      </c>
      <c r="G205" s="147">
        <f ca="1">IF(G69&lt;=YEAR(Assumptions!$H$5),G176+G177,0)</f>
        <v>0</v>
      </c>
      <c r="H205" s="147">
        <f ca="1">IF(H69&lt;=YEAR(Assumptions!$H$5),H176+H177,0)</f>
        <v>16277573.378461426</v>
      </c>
      <c r="I205" s="147">
        <f ca="1">IF(I69&lt;=YEAR(Assumptions!$H$5),I176+I177,0)</f>
        <v>23461727.355095703</v>
      </c>
      <c r="J205" s="147">
        <f ca="1">IF(J69&lt;=YEAR(Assumptions!$H$5),J176+J177,0)</f>
        <v>24128168.822190695</v>
      </c>
      <c r="K205" s="147">
        <f ca="1">IF(K69&lt;=YEAR(Assumptions!$H$5),K176+K177,0)</f>
        <v>548771788.60356188</v>
      </c>
      <c r="L205" s="147">
        <f>IF(L69&lt;=YEAR(Assumptions!$H$5),L176+L177,0)</f>
        <v>0</v>
      </c>
      <c r="M205" s="147">
        <f>IF(M69&lt;=YEAR(Assumptions!$H$5),M176+M177,0)</f>
        <v>0</v>
      </c>
      <c r="N205" s="147">
        <f>IF(N69&lt;=YEAR(Assumptions!$H$5),N176+N177,0)</f>
        <v>0</v>
      </c>
      <c r="O205" s="147">
        <f>IF(O69&lt;=YEAR(Assumptions!$H$5),O176+O177,0)</f>
        <v>0</v>
      </c>
      <c r="P205" s="147">
        <f>IF(P69&lt;=YEAR(Assumptions!$H$5),P176+P177,0)</f>
        <v>0</v>
      </c>
      <c r="Q205" s="147">
        <f>IF(Q69&lt;=YEAR(Assumptions!$H$5),Q176+Q177,0)</f>
        <v>0</v>
      </c>
      <c r="R205" s="147">
        <f>IF(R69&lt;=YEAR(Assumptions!$H$5),R176+R177,0)</f>
        <v>0</v>
      </c>
    </row>
    <row r="206" spans="2:18" ht="17.100000000000001" thickBot="1">
      <c r="B206" s="299" t="s">
        <v>450</v>
      </c>
      <c r="C206" s="289">
        <f ca="1">SUM(D206:N206)</f>
        <v>248151956.93313736</v>
      </c>
      <c r="D206" s="289">
        <f ca="1">D205+D204</f>
        <v>0</v>
      </c>
      <c r="E206" s="289">
        <f t="shared" ref="E206:N206" ca="1" si="153">E205+E204</f>
        <v>0</v>
      </c>
      <c r="F206" s="289">
        <f t="shared" ca="1" si="153"/>
        <v>-156588802.88465017</v>
      </c>
      <c r="G206" s="289">
        <f t="shared" ca="1" si="153"/>
        <v>-156588802.88465017</v>
      </c>
      <c r="H206" s="289">
        <f t="shared" ca="1" si="153"/>
        <v>-35032122.078410558</v>
      </c>
      <c r="I206" s="289">
        <f t="shared" ca="1" si="153"/>
        <v>23461727.355095703</v>
      </c>
      <c r="J206" s="289">
        <f t="shared" ca="1" si="153"/>
        <v>24128168.822190695</v>
      </c>
      <c r="K206" s="289">
        <f t="shared" ca="1" si="153"/>
        <v>548771788.60356188</v>
      </c>
      <c r="L206" s="289">
        <f t="shared" ca="1" si="153"/>
        <v>0</v>
      </c>
      <c r="M206" s="289">
        <f t="shared" ca="1" si="153"/>
        <v>0</v>
      </c>
      <c r="N206" s="290">
        <f t="shared" ca="1" si="153"/>
        <v>0</v>
      </c>
      <c r="O206" s="290">
        <f t="shared" ref="O206" ca="1" si="154">O205+O204</f>
        <v>0</v>
      </c>
      <c r="P206" s="290">
        <f t="shared" ref="P206" ca="1" si="155">P205+P204</f>
        <v>0</v>
      </c>
      <c r="Q206" s="290">
        <f t="shared" ref="Q206" ca="1" si="156">Q205+Q204</f>
        <v>0</v>
      </c>
      <c r="R206" s="290">
        <f t="shared" ref="R206" ca="1" si="157">R205+R204</f>
        <v>0</v>
      </c>
    </row>
    <row r="207" spans="2:18" ht="17.100000000000001" thickBot="1">
      <c r="B207" s="240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</row>
    <row r="208" spans="2:18">
      <c r="B208" s="292" t="s">
        <v>451</v>
      </c>
      <c r="C208" s="293">
        <f ca="1">IRR(D206:N206)</f>
        <v>0.13515499675146558</v>
      </c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</row>
    <row r="209" spans="2:14" ht="17.100000000000001" thickBot="1">
      <c r="B209" s="294" t="s">
        <v>447</v>
      </c>
      <c r="C209" s="295">
        <f ca="1">C205/-C204</f>
        <v>1.680824698414263</v>
      </c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</row>
    <row r="210" spans="2:14">
      <c r="B210" s="240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</row>
    <row r="225" spans="2:4">
      <c r="B225" s="128"/>
      <c r="C225" s="259"/>
      <c r="D225" s="146"/>
    </row>
    <row r="226" spans="2:4">
      <c r="B226" s="128"/>
      <c r="C226" s="125"/>
      <c r="D226" s="146"/>
    </row>
    <row r="248" spans="2:3">
      <c r="B248" s="123"/>
      <c r="C248" s="123"/>
    </row>
    <row r="249" spans="2:3">
      <c r="B249" s="123"/>
      <c r="C249" s="123"/>
    </row>
    <row r="250" spans="2:3">
      <c r="B250" s="123"/>
      <c r="C250" s="123"/>
    </row>
    <row r="251" spans="2:3">
      <c r="B251" s="128"/>
      <c r="C251" s="128"/>
    </row>
    <row r="252" spans="2:3">
      <c r="B252" s="128"/>
      <c r="C252" s="128"/>
    </row>
    <row r="253" spans="2:3">
      <c r="B253" s="128"/>
      <c r="C253" s="128"/>
    </row>
    <row r="254" spans="2:3">
      <c r="B254" s="135"/>
      <c r="C254" s="135"/>
    </row>
    <row r="255" spans="2:3">
      <c r="B255" s="128"/>
      <c r="C255" s="128"/>
    </row>
    <row r="256" spans="2:3">
      <c r="B256" s="128"/>
      <c r="C256" s="128"/>
    </row>
    <row r="257" spans="2:3">
      <c r="B257" s="128"/>
      <c r="C257" s="128"/>
    </row>
    <row r="258" spans="2:3">
      <c r="B258" s="128"/>
      <c r="C258" s="128"/>
    </row>
    <row r="259" spans="2:3">
      <c r="B259" s="128"/>
      <c r="C259" s="128"/>
    </row>
    <row r="260" spans="2:3">
      <c r="B260" s="134"/>
      <c r="C260" s="134"/>
    </row>
    <row r="261" spans="2:3">
      <c r="B261" s="123"/>
      <c r="C261" s="123"/>
    </row>
    <row r="262" spans="2:3">
      <c r="B262" s="123"/>
      <c r="C262" s="123"/>
    </row>
    <row r="263" spans="2:3">
      <c r="B263" s="123"/>
      <c r="C263" s="123"/>
    </row>
    <row r="264" spans="2:3">
      <c r="B264" s="128"/>
      <c r="C264" s="128"/>
    </row>
    <row r="266" spans="2:3">
      <c r="B266" s="125"/>
      <c r="C266" s="125"/>
    </row>
    <row r="267" spans="2:3">
      <c r="B267" s="128"/>
      <c r="C267" s="128"/>
    </row>
    <row r="268" spans="2:3">
      <c r="B268" s="125"/>
      <c r="C268" s="125"/>
    </row>
    <row r="269" spans="2:3">
      <c r="B269" s="128"/>
      <c r="C269" s="128"/>
    </row>
    <row r="270" spans="2:3">
      <c r="B270" s="125"/>
      <c r="C270" s="125"/>
    </row>
    <row r="271" spans="2:3">
      <c r="B271" s="128"/>
      <c r="C271" s="128"/>
    </row>
    <row r="272" spans="2:3">
      <c r="B272" s="128"/>
      <c r="C272" s="128"/>
    </row>
    <row r="273" spans="2:3">
      <c r="B273" s="128"/>
      <c r="C273" s="128"/>
    </row>
    <row r="274" spans="2:3">
      <c r="B274" s="128"/>
      <c r="C274" s="128"/>
    </row>
    <row r="276" spans="2:3">
      <c r="B276" s="134"/>
      <c r="C276" s="134"/>
    </row>
    <row r="277" spans="2:3">
      <c r="B277" s="123"/>
      <c r="C277" s="123"/>
    </row>
    <row r="278" spans="2:3">
      <c r="B278" s="123"/>
      <c r="C278" s="123"/>
    </row>
    <row r="279" spans="2:3">
      <c r="B279" s="123"/>
      <c r="C279" s="123"/>
    </row>
    <row r="280" spans="2:3">
      <c r="B280" s="123"/>
      <c r="C280" s="123"/>
    </row>
    <row r="281" spans="2:3">
      <c r="B281" s="123"/>
      <c r="C281" s="123"/>
    </row>
    <row r="282" spans="2:3">
      <c r="B282" s="123"/>
      <c r="C282" s="123"/>
    </row>
    <row r="283" spans="2:3">
      <c r="B283" s="123"/>
      <c r="C283" s="123"/>
    </row>
    <row r="284" spans="2:3">
      <c r="B284" s="125"/>
      <c r="C284" s="125"/>
    </row>
    <row r="285" spans="2:3">
      <c r="B285" s="128"/>
      <c r="C285" s="128"/>
    </row>
    <row r="286" spans="2:3">
      <c r="B286" s="134"/>
      <c r="C286" s="134"/>
    </row>
    <row r="287" spans="2:3">
      <c r="B287" s="123"/>
      <c r="C287" s="123"/>
    </row>
    <row r="288" spans="2:3">
      <c r="B288" s="123"/>
      <c r="C288" s="123"/>
    </row>
    <row r="289" spans="2:3">
      <c r="B289" s="123"/>
      <c r="C289" s="123"/>
    </row>
    <row r="290" spans="2:3">
      <c r="B290" s="123"/>
      <c r="C290" s="123"/>
    </row>
    <row r="291" spans="2:3">
      <c r="B291" s="123"/>
      <c r="C291" s="123"/>
    </row>
    <row r="292" spans="2:3">
      <c r="B292" s="123"/>
      <c r="C292" s="123"/>
    </row>
    <row r="293" spans="2:3">
      <c r="B293" s="123"/>
      <c r="C293" s="123"/>
    </row>
    <row r="294" spans="2:3">
      <c r="B294" s="123"/>
      <c r="C294" s="123"/>
    </row>
    <row r="295" spans="2:3">
      <c r="B295" s="125"/>
      <c r="C295" s="125"/>
    </row>
    <row r="296" spans="2:3">
      <c r="B296" s="128"/>
      <c r="C296" s="128"/>
    </row>
    <row r="297" spans="2:3">
      <c r="B297" s="134"/>
      <c r="C297" s="134"/>
    </row>
    <row r="298" spans="2:3">
      <c r="B298" s="123"/>
      <c r="C298" s="123"/>
    </row>
    <row r="299" spans="2:3">
      <c r="B299" s="123"/>
      <c r="C299" s="123"/>
    </row>
    <row r="300" spans="2:3">
      <c r="B300" s="125"/>
      <c r="C300" s="125"/>
    </row>
    <row r="301" spans="2:3">
      <c r="B301" s="128"/>
      <c r="C301" s="128"/>
    </row>
    <row r="302" spans="2:3">
      <c r="B302" s="125"/>
      <c r="C302" s="125"/>
    </row>
    <row r="303" spans="2:3">
      <c r="B303" s="125"/>
      <c r="C303" s="125"/>
    </row>
    <row r="304" spans="2:3">
      <c r="B304" s="125"/>
      <c r="C304" s="125"/>
    </row>
    <row r="306" spans="2:4">
      <c r="B306" s="134"/>
      <c r="C306" s="134"/>
    </row>
    <row r="307" spans="2:4">
      <c r="B307" s="123"/>
      <c r="C307" s="123"/>
    </row>
    <row r="308" spans="2:4">
      <c r="B308" s="123"/>
      <c r="C308" s="123"/>
      <c r="D308" s="123"/>
    </row>
    <row r="309" spans="2:4">
      <c r="B309" s="123"/>
      <c r="C309" s="123"/>
      <c r="D309" s="123"/>
    </row>
    <row r="310" spans="2:4">
      <c r="B310" s="123"/>
      <c r="C310" s="123"/>
      <c r="D310" s="123"/>
    </row>
    <row r="311" spans="2:4">
      <c r="B311" s="123"/>
      <c r="C311" s="123"/>
      <c r="D311" s="123"/>
    </row>
    <row r="312" spans="2:4">
      <c r="B312" s="123"/>
      <c r="C312" s="123"/>
      <c r="D312" s="123"/>
    </row>
    <row r="313" spans="2:4">
      <c r="B313" s="123"/>
      <c r="C313" s="123"/>
      <c r="D313" s="123"/>
    </row>
    <row r="314" spans="2:4">
      <c r="B314" s="125"/>
      <c r="C314" s="125"/>
      <c r="D314" s="130"/>
    </row>
    <row r="315" spans="2:4">
      <c r="B315" s="128"/>
      <c r="C315" s="128"/>
      <c r="D315" s="123"/>
    </row>
    <row r="316" spans="2:4">
      <c r="B316" s="134"/>
      <c r="C316" s="134"/>
    </row>
    <row r="317" spans="2:4">
      <c r="B317" s="123"/>
      <c r="C317" s="123"/>
    </row>
    <row r="318" spans="2:4">
      <c r="B318" s="123"/>
      <c r="C318" s="123"/>
    </row>
    <row r="319" spans="2:4">
      <c r="B319" s="123"/>
      <c r="C319" s="123"/>
    </row>
    <row r="320" spans="2:4">
      <c r="B320" s="123"/>
      <c r="C320" s="123"/>
    </row>
    <row r="321" spans="2:3">
      <c r="B321" s="123"/>
      <c r="C321" s="123"/>
    </row>
    <row r="322" spans="2:3">
      <c r="B322" s="123"/>
      <c r="C322" s="123"/>
    </row>
    <row r="323" spans="2:3">
      <c r="B323" s="123"/>
      <c r="C323" s="123"/>
    </row>
    <row r="324" spans="2:3">
      <c r="B324" s="123"/>
      <c r="C324" s="123"/>
    </row>
    <row r="325" spans="2:3">
      <c r="B325" s="125"/>
      <c r="C325" s="125"/>
    </row>
    <row r="326" spans="2:3">
      <c r="B326" s="128"/>
      <c r="C326" s="128"/>
    </row>
    <row r="327" spans="2:3">
      <c r="B327" s="123"/>
      <c r="C327" s="123"/>
    </row>
    <row r="328" spans="2:3">
      <c r="B328" s="128"/>
      <c r="C328" s="128"/>
    </row>
    <row r="329" spans="2:3">
      <c r="B329" s="134"/>
      <c r="C329" s="134"/>
    </row>
    <row r="330" spans="2:3">
      <c r="B330" s="123"/>
      <c r="C330" s="123"/>
    </row>
    <row r="331" spans="2:3">
      <c r="B331" s="123"/>
      <c r="C331" s="123"/>
    </row>
    <row r="332" spans="2:3">
      <c r="B332" s="125"/>
      <c r="C332" s="125"/>
    </row>
    <row r="333" spans="2:3">
      <c r="B333" s="128"/>
      <c r="C333" s="128"/>
    </row>
    <row r="334" spans="2:3">
      <c r="B334" s="125"/>
      <c r="C334" s="125"/>
    </row>
    <row r="335" spans="2:3">
      <c r="B335" s="125"/>
      <c r="C335" s="125"/>
    </row>
    <row r="336" spans="2:3">
      <c r="B336" s="125"/>
      <c r="C336" s="125"/>
    </row>
    <row r="337" spans="2:3">
      <c r="B337" s="123"/>
      <c r="C337" s="123"/>
    </row>
    <row r="338" spans="2:3">
      <c r="B338" s="123"/>
      <c r="C338" s="123"/>
    </row>
    <row r="339" spans="2:3">
      <c r="B339" s="123"/>
      <c r="C339" s="123"/>
    </row>
    <row r="340" spans="2:3">
      <c r="B340" s="123"/>
      <c r="C340" s="123"/>
    </row>
    <row r="341" spans="2:3">
      <c r="B341" s="125"/>
      <c r="C341" s="125"/>
    </row>
    <row r="342" spans="2:3">
      <c r="B342" s="128"/>
      <c r="C342" s="128"/>
    </row>
    <row r="343" spans="2:3">
      <c r="B343" s="134"/>
      <c r="C343" s="134"/>
    </row>
    <row r="344" spans="2:3">
      <c r="B344" s="123"/>
      <c r="C344" s="123"/>
    </row>
    <row r="345" spans="2:3">
      <c r="B345" s="123"/>
      <c r="C345" s="123"/>
    </row>
    <row r="346" spans="2:3">
      <c r="B346" s="125"/>
      <c r="C346" s="125"/>
    </row>
    <row r="347" spans="2:3">
      <c r="B347" s="128"/>
      <c r="C347" s="128"/>
    </row>
    <row r="348" spans="2:3">
      <c r="B348" s="125"/>
      <c r="C348" s="125"/>
    </row>
    <row r="349" spans="2:3">
      <c r="B349" s="125"/>
      <c r="C349" s="125"/>
    </row>
    <row r="350" spans="2:3">
      <c r="B350" s="125"/>
      <c r="C350" s="125"/>
    </row>
    <row r="351" spans="2:3">
      <c r="B351" s="128"/>
      <c r="C351" s="128"/>
    </row>
    <row r="352" spans="2:3">
      <c r="B352" s="136" t="s">
        <v>452</v>
      </c>
      <c r="C352" s="136"/>
    </row>
    <row r="353" spans="2:3">
      <c r="B353" s="125"/>
      <c r="C353" s="125"/>
    </row>
    <row r="354" spans="2:3">
      <c r="B354" s="134"/>
      <c r="C354" s="134"/>
    </row>
    <row r="355" spans="2:3">
      <c r="B355" s="123"/>
      <c r="C355" s="123"/>
    </row>
    <row r="356" spans="2:3">
      <c r="B356" s="123"/>
      <c r="C356" s="123"/>
    </row>
    <row r="357" spans="2:3">
      <c r="B357" s="123"/>
      <c r="C357" s="123"/>
    </row>
    <row r="358" spans="2:3">
      <c r="B358" s="123"/>
      <c r="C358" s="123"/>
    </row>
    <row r="359" spans="2:3">
      <c r="B359" s="123"/>
      <c r="C359" s="123"/>
    </row>
    <row r="360" spans="2:3">
      <c r="B360" s="123"/>
      <c r="C360" s="123"/>
    </row>
    <row r="361" spans="2:3">
      <c r="B361" s="123"/>
      <c r="C361" s="123"/>
    </row>
    <row r="362" spans="2:3">
      <c r="B362" s="125"/>
      <c r="C362" s="125"/>
    </row>
    <row r="363" spans="2:3">
      <c r="B363" s="125"/>
      <c r="C363" s="125"/>
    </row>
    <row r="364" spans="2:3">
      <c r="B364" s="125"/>
      <c r="C364" s="125"/>
    </row>
    <row r="365" spans="2:3">
      <c r="B365" s="125"/>
      <c r="C365" s="125"/>
    </row>
    <row r="366" spans="2:3">
      <c r="B366" s="134"/>
      <c r="C366" s="134"/>
    </row>
    <row r="367" spans="2:3">
      <c r="B367" s="123"/>
      <c r="C367" s="123"/>
    </row>
    <row r="368" spans="2:3">
      <c r="B368" s="123"/>
      <c r="C368" s="123"/>
    </row>
    <row r="369" spans="2:3">
      <c r="B369" s="123"/>
      <c r="C369" s="123"/>
    </row>
    <row r="370" spans="2:3">
      <c r="B370" s="123"/>
      <c r="C370" s="123"/>
    </row>
    <row r="371" spans="2:3">
      <c r="B371" s="123"/>
      <c r="C371" s="123"/>
    </row>
    <row r="372" spans="2:3">
      <c r="B372" s="123"/>
      <c r="C372" s="123"/>
    </row>
    <row r="373" spans="2:3">
      <c r="B373" s="123"/>
      <c r="C373" s="123"/>
    </row>
    <row r="374" spans="2:3">
      <c r="B374" s="123"/>
      <c r="C374" s="123"/>
    </row>
    <row r="375" spans="2:3">
      <c r="B375" s="125"/>
      <c r="C375" s="125"/>
    </row>
    <row r="376" spans="2:3">
      <c r="B376" s="128"/>
      <c r="C376" s="128"/>
    </row>
    <row r="377" spans="2:3">
      <c r="B377" s="125"/>
      <c r="C377" s="125"/>
    </row>
    <row r="378" spans="2:3">
      <c r="B378" s="125"/>
      <c r="C378" s="125"/>
    </row>
    <row r="379" spans="2:3">
      <c r="B379" s="128"/>
      <c r="C379" s="128"/>
    </row>
    <row r="380" spans="2:3">
      <c r="B380" s="128"/>
      <c r="C380" s="128"/>
    </row>
    <row r="381" spans="2:3">
      <c r="B381" s="128"/>
      <c r="C381" s="128"/>
    </row>
    <row r="382" spans="2:3">
      <c r="B382" s="134"/>
      <c r="C382" s="134"/>
    </row>
    <row r="383" spans="2:3">
      <c r="B383" s="123"/>
      <c r="C383" s="123"/>
    </row>
    <row r="384" spans="2:3">
      <c r="B384" s="123"/>
      <c r="C384" s="123"/>
    </row>
    <row r="385" spans="2:3">
      <c r="B385" s="123"/>
      <c r="C385" s="123"/>
    </row>
    <row r="386" spans="2:3">
      <c r="B386" s="123"/>
      <c r="C386" s="123"/>
    </row>
    <row r="387" spans="2:3">
      <c r="B387" s="123"/>
      <c r="C387" s="123"/>
    </row>
    <row r="388" spans="2:3">
      <c r="B388" s="123"/>
      <c r="C388" s="123"/>
    </row>
    <row r="389" spans="2:3">
      <c r="B389" s="123"/>
      <c r="C389" s="123"/>
    </row>
    <row r="390" spans="2:3">
      <c r="B390" s="128"/>
      <c r="C390" s="128"/>
    </row>
    <row r="391" spans="2:3">
      <c r="B391" s="128"/>
      <c r="C391" s="128"/>
    </row>
    <row r="392" spans="2:3">
      <c r="B392" s="136"/>
      <c r="C392" s="136"/>
    </row>
    <row r="393" spans="2:3">
      <c r="B393" s="125"/>
      <c r="C393" s="125"/>
    </row>
    <row r="394" spans="2:3">
      <c r="B394" s="134"/>
      <c r="C394" s="134"/>
    </row>
    <row r="395" spans="2:3">
      <c r="B395" s="123"/>
      <c r="C395" s="123"/>
    </row>
    <row r="396" spans="2:3">
      <c r="B396" s="123"/>
      <c r="C396" s="123"/>
    </row>
    <row r="397" spans="2:3">
      <c r="B397" s="123"/>
      <c r="C397" s="123"/>
    </row>
    <row r="398" spans="2:3">
      <c r="B398" s="123"/>
      <c r="C398" s="123"/>
    </row>
    <row r="399" spans="2:3">
      <c r="B399" s="123"/>
      <c r="C399" s="123"/>
    </row>
    <row r="400" spans="2:3">
      <c r="B400" s="123"/>
      <c r="C400" s="123"/>
    </row>
    <row r="401" spans="2:3">
      <c r="B401" s="123"/>
      <c r="C401" s="123"/>
    </row>
    <row r="402" spans="2:3">
      <c r="B402" s="125"/>
      <c r="C402" s="125"/>
    </row>
    <row r="403" spans="2:3">
      <c r="B403" s="125"/>
      <c r="C403" s="125"/>
    </row>
    <row r="404" spans="2:3">
      <c r="B404" s="125"/>
      <c r="C404" s="125"/>
    </row>
    <row r="405" spans="2:3">
      <c r="B405" s="125"/>
      <c r="C405" s="125"/>
    </row>
    <row r="406" spans="2:3">
      <c r="B406" s="134"/>
      <c r="C406" s="134"/>
    </row>
    <row r="407" spans="2:3">
      <c r="B407" s="123"/>
      <c r="C407" s="123"/>
    </row>
    <row r="408" spans="2:3">
      <c r="B408" s="123"/>
      <c r="C408" s="123"/>
    </row>
    <row r="409" spans="2:3">
      <c r="B409" s="123"/>
      <c r="C409" s="123"/>
    </row>
    <row r="410" spans="2:3">
      <c r="B410" s="123"/>
      <c r="C410" s="123"/>
    </row>
    <row r="411" spans="2:3">
      <c r="B411" s="123"/>
      <c r="C411" s="123"/>
    </row>
    <row r="412" spans="2:3">
      <c r="B412" s="123"/>
      <c r="C412" s="123"/>
    </row>
    <row r="413" spans="2:3">
      <c r="B413" s="123"/>
      <c r="C413" s="123"/>
    </row>
    <row r="414" spans="2:3">
      <c r="B414" s="123"/>
      <c r="C414" s="123"/>
    </row>
    <row r="415" spans="2:3">
      <c r="B415" s="125"/>
      <c r="C415" s="125"/>
    </row>
    <row r="416" spans="2:3">
      <c r="B416" s="128"/>
      <c r="C416" s="128"/>
    </row>
    <row r="417" spans="2:3">
      <c r="B417" s="125"/>
      <c r="C417" s="125"/>
    </row>
    <row r="418" spans="2:3">
      <c r="B418" s="125"/>
      <c r="C418" s="125"/>
    </row>
    <row r="419" spans="2:3">
      <c r="B419" s="128"/>
      <c r="C419" s="128"/>
    </row>
    <row r="420" spans="2:3">
      <c r="B420" s="128"/>
      <c r="C420" s="128"/>
    </row>
    <row r="421" spans="2:3">
      <c r="B421" s="128"/>
      <c r="C421" s="128"/>
    </row>
    <row r="422" spans="2:3">
      <c r="B422" s="134"/>
      <c r="C422" s="134"/>
    </row>
    <row r="423" spans="2:3">
      <c r="B423" s="123"/>
      <c r="C423" s="123"/>
    </row>
    <row r="424" spans="2:3">
      <c r="B424" s="123"/>
      <c r="C424" s="123"/>
    </row>
    <row r="425" spans="2:3">
      <c r="B425" s="123"/>
      <c r="C425" s="123"/>
    </row>
    <row r="426" spans="2:3">
      <c r="B426" s="123"/>
      <c r="C426" s="123"/>
    </row>
    <row r="427" spans="2:3">
      <c r="B427" s="123"/>
      <c r="C427" s="123"/>
    </row>
    <row r="428" spans="2:3">
      <c r="B428" s="123"/>
      <c r="C428" s="123"/>
    </row>
    <row r="429" spans="2:3">
      <c r="B429" s="123"/>
      <c r="C429" s="123"/>
    </row>
    <row r="430" spans="2:3">
      <c r="B430" s="128"/>
      <c r="C430" s="128"/>
    </row>
  </sheetData>
  <pageMargins left="0.7" right="0.7" top="0.75" bottom="0.75" header="0.3" footer="0.3"/>
  <pageSetup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1D0A0-4BB9-2D47-9F77-6668975EEB1B}">
  <sheetPr>
    <tabColor theme="9"/>
  </sheetPr>
  <dimension ref="A1:R430"/>
  <sheetViews>
    <sheetView zoomScale="87" workbookViewId="0"/>
  </sheetViews>
  <sheetFormatPr defaultColWidth="10.875" defaultRowHeight="15.95"/>
  <cols>
    <col min="1" max="1" width="10.875" style="1"/>
    <col min="2" max="2" width="72" style="1" bestFit="1" customWidth="1"/>
    <col min="3" max="3" width="14.125" style="1" customWidth="1"/>
    <col min="4" max="4" width="22" style="1" bestFit="1" customWidth="1"/>
    <col min="5" max="7" width="12.875" style="1" bestFit="1" customWidth="1"/>
    <col min="8" max="8" width="14.875" style="1" bestFit="1" customWidth="1"/>
    <col min="9" max="12" width="14.625" style="1" bestFit="1" customWidth="1"/>
    <col min="13" max="13" width="20" style="1" bestFit="1" customWidth="1"/>
    <col min="14" max="14" width="14.625" style="1" bestFit="1" customWidth="1"/>
    <col min="15" max="18" width="12.125" style="1" bestFit="1" customWidth="1"/>
    <col min="19" max="16384" width="10.875" style="1"/>
  </cols>
  <sheetData>
    <row r="1" spans="1:18">
      <c r="A1" s="76" t="s">
        <v>206</v>
      </c>
      <c r="E1" s="23">
        <v>1</v>
      </c>
      <c r="F1" s="23">
        <f>E1+1</f>
        <v>2</v>
      </c>
      <c r="G1" s="23">
        <f t="shared" ref="G1:N1" si="0">F1+1</f>
        <v>3</v>
      </c>
      <c r="H1" s="23">
        <f t="shared" si="0"/>
        <v>4</v>
      </c>
      <c r="I1" s="23">
        <f t="shared" si="0"/>
        <v>5</v>
      </c>
      <c r="J1" s="23">
        <f t="shared" si="0"/>
        <v>6</v>
      </c>
      <c r="K1" s="23">
        <f t="shared" si="0"/>
        <v>7</v>
      </c>
      <c r="L1" s="23">
        <f t="shared" si="0"/>
        <v>8</v>
      </c>
      <c r="M1" s="23">
        <f t="shared" si="0"/>
        <v>9</v>
      </c>
      <c r="N1" s="23">
        <f t="shared" si="0"/>
        <v>10</v>
      </c>
      <c r="O1" s="23">
        <f t="shared" ref="O1:R1" si="1">N1+1</f>
        <v>11</v>
      </c>
      <c r="P1" s="23">
        <f t="shared" si="1"/>
        <v>12</v>
      </c>
      <c r="Q1" s="23">
        <f t="shared" si="1"/>
        <v>13</v>
      </c>
      <c r="R1" s="23">
        <f t="shared" si="1"/>
        <v>14</v>
      </c>
    </row>
    <row r="2" spans="1:18">
      <c r="B2" s="278"/>
      <c r="C2" s="278"/>
      <c r="D2" s="279">
        <f>YEAR(D3)</f>
        <v>2026</v>
      </c>
      <c r="E2" s="279">
        <f t="shared" ref="E2:N2" si="2">YEAR(E3)</f>
        <v>2027</v>
      </c>
      <c r="F2" s="279">
        <f t="shared" si="2"/>
        <v>2028</v>
      </c>
      <c r="G2" s="279">
        <f t="shared" si="2"/>
        <v>2029</v>
      </c>
      <c r="H2" s="279">
        <f t="shared" si="2"/>
        <v>2030</v>
      </c>
      <c r="I2" s="279">
        <f t="shared" si="2"/>
        <v>2031</v>
      </c>
      <c r="J2" s="279">
        <f t="shared" si="2"/>
        <v>2032</v>
      </c>
      <c r="K2" s="279">
        <f t="shared" si="2"/>
        <v>2033</v>
      </c>
      <c r="L2" s="279">
        <f t="shared" si="2"/>
        <v>2034</v>
      </c>
      <c r="M2" s="279">
        <f t="shared" si="2"/>
        <v>2035</v>
      </c>
      <c r="N2" s="279">
        <f t="shared" si="2"/>
        <v>2036</v>
      </c>
      <c r="O2" s="279">
        <f t="shared" ref="O2" si="3">YEAR(O3)</f>
        <v>2037</v>
      </c>
      <c r="P2" s="279">
        <f t="shared" ref="P2" si="4">YEAR(P3)</f>
        <v>2038</v>
      </c>
      <c r="Q2" s="279">
        <f t="shared" ref="Q2" si="5">YEAR(Q3)</f>
        <v>2039</v>
      </c>
      <c r="R2" s="279">
        <f t="shared" ref="R2" si="6">YEAR(R3)</f>
        <v>2040</v>
      </c>
    </row>
    <row r="3" spans="1:18" ht="18">
      <c r="B3" s="302" t="s">
        <v>118</v>
      </c>
      <c r="C3" s="280"/>
      <c r="D3" s="281">
        <f>(Assumptions!D6)</f>
        <v>46387</v>
      </c>
      <c r="E3" s="281">
        <f>EOMONTH(D3,12)</f>
        <v>46752</v>
      </c>
      <c r="F3" s="281">
        <f t="shared" ref="F3:N3" si="7">EOMONTH(E3,12)</f>
        <v>47118</v>
      </c>
      <c r="G3" s="281">
        <f t="shared" si="7"/>
        <v>47483</v>
      </c>
      <c r="H3" s="281">
        <f t="shared" si="7"/>
        <v>47848</v>
      </c>
      <c r="I3" s="281">
        <f t="shared" si="7"/>
        <v>48213</v>
      </c>
      <c r="J3" s="281">
        <f t="shared" si="7"/>
        <v>48579</v>
      </c>
      <c r="K3" s="281">
        <f t="shared" si="7"/>
        <v>48944</v>
      </c>
      <c r="L3" s="281">
        <f t="shared" si="7"/>
        <v>49309</v>
      </c>
      <c r="M3" s="281">
        <f t="shared" si="7"/>
        <v>49674</v>
      </c>
      <c r="N3" s="281">
        <f t="shared" si="7"/>
        <v>50040</v>
      </c>
      <c r="O3" s="281">
        <f t="shared" ref="O3:R3" si="8">EOMONTH(N3,12)</f>
        <v>50405</v>
      </c>
      <c r="P3" s="281">
        <f t="shared" si="8"/>
        <v>50770</v>
      </c>
      <c r="Q3" s="281">
        <f t="shared" si="8"/>
        <v>51135</v>
      </c>
      <c r="R3" s="281">
        <f t="shared" si="8"/>
        <v>51501</v>
      </c>
    </row>
    <row r="4" spans="1:18">
      <c r="B4" s="134"/>
      <c r="C4" s="134"/>
    </row>
    <row r="5" spans="1:18">
      <c r="B5" s="123" t="s">
        <v>408</v>
      </c>
      <c r="C5" s="123"/>
      <c r="D5" s="91">
        <f>+IF(AND(D3&gt;=Housing!$E$15,D3&lt;Housing!$E$17),Assumptions!$I$38/ROUNDUP((Housing!$E$16/12),0),0)</f>
        <v>0</v>
      </c>
      <c r="E5" s="91">
        <f>+IF(AND(E3&gt;=Housing!$E$15,E3&lt;Housing!$E$17),Assumptions!$I$38/ROUNDUP((Housing!$E$16/12),0),0)</f>
        <v>0</v>
      </c>
      <c r="F5" s="91">
        <f>+IF(AND(F3&gt;=Housing!$E$15,F3&lt;Housing!$E$17),Assumptions!$I$38/ROUNDUP((Housing!$E$16/12),0),0)</f>
        <v>0</v>
      </c>
      <c r="G5" s="91">
        <f>+IF(AND(G3&gt;=Housing!$E$15,G3&lt;Housing!$E$17),Assumptions!$I$38/ROUNDUP((Housing!$E$16/12),0),0)</f>
        <v>0</v>
      </c>
      <c r="H5" s="91">
        <f>+IF(AND(H3&gt;=Housing!$E$15,H3&lt;Housing!$E$17),Assumptions!$I$38/ROUNDUP((Housing!$E$16/12),0),0)</f>
        <v>81855</v>
      </c>
      <c r="I5" s="91">
        <f>+IF(AND(I3&gt;=Housing!$E$15,I3&lt;Housing!$E$17),Assumptions!$I$38/ROUNDUP((Housing!$E$16/12),0),0)</f>
        <v>0</v>
      </c>
      <c r="J5" s="91">
        <f>+IF(AND(J3&gt;=Housing!$E$15,J3&lt;Housing!$E$17),Assumptions!$I$38/ROUNDUP((Housing!$E$16/12),0),0)</f>
        <v>0</v>
      </c>
      <c r="K5" s="91">
        <f>+IF(AND(K3&gt;=Housing!$E$15,K3&lt;Housing!$E$17),Assumptions!$I$38/ROUNDUP((Housing!$E$16/12),0),0)</f>
        <v>0</v>
      </c>
      <c r="L5" s="91">
        <f>+IF(AND(L3&gt;=Housing!$E$15,L3&lt;Housing!$E$17),Assumptions!$I$38/ROUNDUP((Housing!$E$16/12),0),0)</f>
        <v>0</v>
      </c>
      <c r="M5" s="91">
        <f>+IF(AND(M3&gt;=Housing!$E$15,M3&lt;Housing!$E$17),Assumptions!$I$38/ROUNDUP((Housing!$E$16/12),0),0)</f>
        <v>0</v>
      </c>
      <c r="N5" s="91">
        <f>+IF(AND(N3&gt;=Housing!$E$15,N3&lt;Housing!$E$17),Assumptions!$I$38/ROUNDUP((Housing!$E$16/12),0),0)</f>
        <v>0</v>
      </c>
      <c r="O5" s="91">
        <f>+IF(AND(O3&gt;=Housing!$E$15,O3&lt;Housing!$E$17),Assumptions!$I$38/ROUNDUP((Housing!$E$16/12),0),0)</f>
        <v>0</v>
      </c>
      <c r="P5" s="91">
        <f>+IF(AND(P3&gt;=Housing!$E$15,P3&lt;Housing!$E$17),Assumptions!$I$38/ROUNDUP((Housing!$E$16/12),0),0)</f>
        <v>0</v>
      </c>
      <c r="Q5" s="91">
        <f>+IF(AND(Q3&gt;=Housing!$E$15,Q3&lt;Housing!$E$17),Assumptions!$I$38/ROUNDUP((Housing!$E$16/12),0),0)</f>
        <v>0</v>
      </c>
      <c r="R5" s="91">
        <f>+IF(AND(R3&gt;=Housing!$E$15,R3&lt;Housing!$E$17),Assumptions!$I$38/ROUNDUP((Housing!$E$16/12),0),0)</f>
        <v>0</v>
      </c>
    </row>
    <row r="6" spans="1:18">
      <c r="B6" s="123" t="s">
        <v>409</v>
      </c>
      <c r="C6" s="123"/>
      <c r="D6" s="91">
        <v>0</v>
      </c>
      <c r="E6" s="91">
        <f>D6+E5</f>
        <v>0</v>
      </c>
      <c r="F6" s="91">
        <f t="shared" ref="F6:M6" si="9">E6+F5</f>
        <v>0</v>
      </c>
      <c r="G6" s="91">
        <f t="shared" si="9"/>
        <v>0</v>
      </c>
      <c r="H6" s="91">
        <f t="shared" si="9"/>
        <v>81855</v>
      </c>
      <c r="I6" s="91">
        <f t="shared" si="9"/>
        <v>81855</v>
      </c>
      <c r="J6" s="91">
        <f t="shared" si="9"/>
        <v>81855</v>
      </c>
      <c r="K6" s="91">
        <f t="shared" si="9"/>
        <v>81855</v>
      </c>
      <c r="L6" s="91">
        <f t="shared" si="9"/>
        <v>81855</v>
      </c>
      <c r="M6" s="91">
        <f t="shared" si="9"/>
        <v>81855</v>
      </c>
      <c r="N6" s="91">
        <f>M6+N5</f>
        <v>81855</v>
      </c>
      <c r="O6" s="91">
        <f t="shared" ref="O6:R6" si="10">N6+O5</f>
        <v>81855</v>
      </c>
      <c r="P6" s="91">
        <f t="shared" si="10"/>
        <v>81855</v>
      </c>
      <c r="Q6" s="91">
        <f t="shared" si="10"/>
        <v>81855</v>
      </c>
      <c r="R6" s="91">
        <f t="shared" si="10"/>
        <v>81855</v>
      </c>
    </row>
    <row r="7" spans="1:18">
      <c r="B7" s="123" t="s">
        <v>410</v>
      </c>
      <c r="C7" s="123"/>
      <c r="D7" s="91">
        <f>+IF(AND(D3&gt;=Housing!$E$15,D3&lt;Housing!$E$17),Assumptions!$I$39/ROUNDUP((Housing!$E$16/12),0),0)</f>
        <v>0</v>
      </c>
      <c r="E7" s="91">
        <f>+IF(AND(E3&gt;=Housing!$E$15,E3&lt;Housing!$E$17),Assumptions!$I$39/ROUNDUP((Housing!$E$16/12),0),0)</f>
        <v>0</v>
      </c>
      <c r="F7" s="91">
        <f>+IF(AND(F3&gt;=Housing!$E$15,F3&lt;Housing!$E$17),Assumptions!$I$39/ROUNDUP((Housing!$E$16/12),0),0)</f>
        <v>0</v>
      </c>
      <c r="G7" s="91">
        <f>+IF(AND(G3&gt;=Housing!$E$15,G3&lt;Housing!$E$17),Assumptions!$I$39/ROUNDUP((Housing!$E$16/12),0),0)</f>
        <v>0</v>
      </c>
      <c r="H7" s="91">
        <f>+IF(AND(H3&gt;=Housing!$E$15,H3&lt;Housing!$E$17),Assumptions!$I$39/ROUNDUP((Housing!$E$16/12),0),0)</f>
        <v>107</v>
      </c>
      <c r="I7" s="91">
        <f>+IF(AND(I3&gt;=Housing!$E$15,I3&lt;Housing!$E$17),Assumptions!$I$39/ROUNDUP((Housing!$E$16/12),0),0)</f>
        <v>0</v>
      </c>
      <c r="J7" s="91">
        <f>+IF(AND(J3&gt;=Housing!$E$15,J3&lt;Housing!$E$17),Assumptions!$I$39/ROUNDUP((Housing!$E$16/12),0),0)</f>
        <v>0</v>
      </c>
      <c r="K7" s="91">
        <f>+IF(AND(K3&gt;=Housing!$E$15,K3&lt;Housing!$E$17),Assumptions!$I$39/ROUNDUP((Housing!$E$16/12),0),0)</f>
        <v>0</v>
      </c>
      <c r="L7" s="91">
        <f>+IF(AND(L3&gt;=Housing!$E$15,L3&lt;Housing!$E$17),Assumptions!$I$39/ROUNDUP((Housing!$E$16/12),0),0)</f>
        <v>0</v>
      </c>
      <c r="M7" s="91">
        <f>+IF(AND(M3&gt;=Housing!$E$15,M3&lt;Housing!$E$17),Assumptions!$I$39/ROUNDUP((Housing!$E$16/12),0),0)</f>
        <v>0</v>
      </c>
      <c r="N7" s="91">
        <f>+IF(AND(N3&gt;=Housing!$E$15,N3&lt;Housing!$E$17),Assumptions!$I$39/ROUNDUP((Housing!$E$16/12),0),0)</f>
        <v>0</v>
      </c>
      <c r="O7" s="91">
        <f>+IF(AND(O3&gt;=Housing!$E$15,O3&lt;Housing!$E$17),Assumptions!$I$39/ROUNDUP((Housing!$E$16/12),0),0)</f>
        <v>0</v>
      </c>
      <c r="P7" s="91">
        <f>+IF(AND(P3&gt;=Housing!$E$15,P3&lt;Housing!$E$17),Assumptions!$I$39/ROUNDUP((Housing!$E$16/12),0),0)</f>
        <v>0</v>
      </c>
      <c r="Q7" s="91">
        <f>+IF(AND(Q3&gt;=Housing!$E$15,Q3&lt;Housing!$E$17),Assumptions!$I$39/ROUNDUP((Housing!$E$16/12),0),0)</f>
        <v>0</v>
      </c>
      <c r="R7" s="91">
        <f>+IF(AND(R3&gt;=Housing!$E$15,R3&lt;Housing!$E$17),Assumptions!$I$39/ROUNDUP((Housing!$E$16/12),0),0)</f>
        <v>0</v>
      </c>
    </row>
    <row r="8" spans="1:18">
      <c r="B8" s="123" t="s">
        <v>411</v>
      </c>
      <c r="C8" s="123"/>
      <c r="D8" s="23">
        <v>0</v>
      </c>
      <c r="E8" s="91">
        <f>E7+D8</f>
        <v>0</v>
      </c>
      <c r="F8" s="91">
        <f t="shared" ref="F8:N8" si="11">F7+E8</f>
        <v>0</v>
      </c>
      <c r="G8" s="91">
        <f t="shared" si="11"/>
        <v>0</v>
      </c>
      <c r="H8" s="91">
        <f t="shared" si="11"/>
        <v>107</v>
      </c>
      <c r="I8" s="91">
        <f t="shared" si="11"/>
        <v>107</v>
      </c>
      <c r="J8" s="91">
        <f t="shared" si="11"/>
        <v>107</v>
      </c>
      <c r="K8" s="91">
        <f t="shared" si="11"/>
        <v>107</v>
      </c>
      <c r="L8" s="91">
        <f t="shared" si="11"/>
        <v>107</v>
      </c>
      <c r="M8" s="91">
        <f t="shared" si="11"/>
        <v>107</v>
      </c>
      <c r="N8" s="91">
        <f t="shared" si="11"/>
        <v>107</v>
      </c>
      <c r="O8" s="91">
        <f t="shared" ref="O8" si="12">O7+N8</f>
        <v>107</v>
      </c>
      <c r="P8" s="91">
        <f t="shared" ref="P8" si="13">P7+O8</f>
        <v>107</v>
      </c>
      <c r="Q8" s="91">
        <f t="shared" ref="Q8" si="14">Q7+P8</f>
        <v>107</v>
      </c>
      <c r="R8" s="91">
        <f t="shared" ref="R8" si="15">R7+Q8</f>
        <v>107</v>
      </c>
    </row>
    <row r="9" spans="1:18">
      <c r="B9" s="123" t="s">
        <v>412</v>
      </c>
      <c r="C9" s="123"/>
      <c r="D9" s="85">
        <f>D8/SUM($D$7:$N$7)</f>
        <v>0</v>
      </c>
      <c r="E9" s="85">
        <f t="shared" ref="E9:N9" si="16">E8/SUM($D$7:$N$7)</f>
        <v>0</v>
      </c>
      <c r="F9" s="85">
        <f t="shared" si="16"/>
        <v>0</v>
      </c>
      <c r="G9" s="85">
        <f t="shared" si="16"/>
        <v>0</v>
      </c>
      <c r="H9" s="85">
        <f t="shared" si="16"/>
        <v>1</v>
      </c>
      <c r="I9" s="85">
        <f t="shared" si="16"/>
        <v>1</v>
      </c>
      <c r="J9" s="85">
        <f t="shared" si="16"/>
        <v>1</v>
      </c>
      <c r="K9" s="85">
        <f t="shared" si="16"/>
        <v>1</v>
      </c>
      <c r="L9" s="85">
        <f t="shared" si="16"/>
        <v>1</v>
      </c>
      <c r="M9" s="85">
        <f t="shared" si="16"/>
        <v>1</v>
      </c>
      <c r="N9" s="85">
        <f t="shared" si="16"/>
        <v>1</v>
      </c>
      <c r="O9" s="85">
        <f t="shared" ref="O9" si="17">O8/SUM($D$7:$N$7)</f>
        <v>1</v>
      </c>
      <c r="P9" s="85">
        <f t="shared" ref="P9" si="18">P8/SUM($D$7:$N$7)</f>
        <v>1</v>
      </c>
      <c r="Q9" s="85">
        <f t="shared" ref="Q9" si="19">Q8/SUM($D$7:$N$7)</f>
        <v>1</v>
      </c>
      <c r="R9" s="85">
        <f t="shared" ref="R9" si="20">R8/SUM($D$7:$N$7)</f>
        <v>1</v>
      </c>
    </row>
    <row r="10" spans="1:18">
      <c r="B10" s="123"/>
      <c r="C10" s="1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</row>
    <row r="11" spans="1:18">
      <c r="B11" s="123" t="s">
        <v>413</v>
      </c>
      <c r="C11" s="123"/>
      <c r="D11" s="51">
        <v>1</v>
      </c>
      <c r="E11" s="209">
        <f>D11*(1+Assumptions!$X$58)</f>
        <v>1.0149999999999999</v>
      </c>
      <c r="F11" s="209">
        <f>E11*(1+Assumptions!$X$58)</f>
        <v>1.0302249999999997</v>
      </c>
      <c r="G11" s="209">
        <f>F11*(1+Assumptions!$X$58)</f>
        <v>1.0456783749999996</v>
      </c>
      <c r="H11" s="209">
        <f>G11*(1+Assumptions!$X$58)</f>
        <v>1.0613635506249994</v>
      </c>
      <c r="I11" s="209">
        <f>H11*(1+Assumptions!$X$58)</f>
        <v>1.0772840038843743</v>
      </c>
      <c r="J11" s="209">
        <f>I11*(1+Assumptions!$X$58)</f>
        <v>1.0934432639426397</v>
      </c>
      <c r="K11" s="209">
        <f>J11*(1+Assumptions!$X$58)</f>
        <v>1.1098449129017791</v>
      </c>
      <c r="L11" s="209">
        <f>K11*(1+Assumptions!$X$58)</f>
        <v>1.1264925865953057</v>
      </c>
      <c r="M11" s="209">
        <f>L11*(1+Assumptions!$X$58)</f>
        <v>1.1433899753942351</v>
      </c>
      <c r="N11" s="209">
        <f>M11*(1+Assumptions!$X$58)</f>
        <v>1.1605408250251485</v>
      </c>
      <c r="O11" s="209">
        <f>N11*(1+Assumptions!$X$58)</f>
        <v>1.1779489374005256</v>
      </c>
      <c r="P11" s="209">
        <f>O11*(1+Assumptions!$X$58)</f>
        <v>1.1956181714615335</v>
      </c>
      <c r="Q11" s="209">
        <f>P11*(1+Assumptions!$X$58)</f>
        <v>1.2135524440334564</v>
      </c>
      <c r="R11" s="209">
        <f>Q11*(1+Assumptions!$X$58)</f>
        <v>1.2317557306939582</v>
      </c>
    </row>
    <row r="12" spans="1:18">
      <c r="B12" s="123" t="s">
        <v>414</v>
      </c>
      <c r="C12" s="123"/>
      <c r="D12" s="51">
        <v>1</v>
      </c>
      <c r="E12" s="209">
        <f>D12*(1+Assumptions!$X$68)</f>
        <v>1.03</v>
      </c>
      <c r="F12" s="209">
        <f>E12*(1+Assumptions!$X$68)</f>
        <v>1.0609</v>
      </c>
      <c r="G12" s="209">
        <f>F12*(1+Assumptions!$X$68)</f>
        <v>1.092727</v>
      </c>
      <c r="H12" s="209">
        <f>G12*(1+Assumptions!$X$68)</f>
        <v>1.1255088100000001</v>
      </c>
      <c r="I12" s="209">
        <f>H12*(1+Assumptions!$X$68)</f>
        <v>1.1592740743000001</v>
      </c>
      <c r="J12" s="209">
        <f>I12*(1+Assumptions!$X$68)</f>
        <v>1.1940522965290001</v>
      </c>
      <c r="K12" s="209">
        <f>J12*(1+Assumptions!$X$68)</f>
        <v>1.2298738654248702</v>
      </c>
      <c r="L12" s="209">
        <f>K12*(1+Assumptions!$X$68)</f>
        <v>1.2667700813876164</v>
      </c>
      <c r="M12" s="209">
        <f>L12*(1+Assumptions!$X$68)</f>
        <v>1.3047731838292449</v>
      </c>
      <c r="N12" s="209">
        <f>M12*(1+Assumptions!$X$68)</f>
        <v>1.3439163793441222</v>
      </c>
      <c r="O12" s="209">
        <f>N12*(1+Assumptions!$X$68)</f>
        <v>1.3842338707244459</v>
      </c>
      <c r="P12" s="209">
        <f>O12*(1+Assumptions!$X$68)</f>
        <v>1.4257608868461793</v>
      </c>
      <c r="Q12" s="209">
        <f>P12*(1+Assumptions!$X$68)</f>
        <v>1.4685337134515648</v>
      </c>
      <c r="R12" s="209">
        <f>Q12*(1+Assumptions!$X$68)</f>
        <v>1.5125897248551119</v>
      </c>
    </row>
    <row r="13" spans="1:18">
      <c r="B13" s="123"/>
      <c r="C13" s="1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</row>
    <row r="14" spans="1:18">
      <c r="B14" s="123" t="s">
        <v>415</v>
      </c>
      <c r="C14" s="123"/>
      <c r="D14" s="210">
        <f ca="1">D11*D9*Assumptions!$I$37</f>
        <v>0</v>
      </c>
      <c r="E14" s="210">
        <f ca="1">E11*E9*Assumptions!$I$37</f>
        <v>0</v>
      </c>
      <c r="F14" s="210">
        <f ca="1">F11*F9*Assumptions!$I$37</f>
        <v>0</v>
      </c>
      <c r="G14" s="210">
        <f ca="1">G11*G9*Assumptions!$I$37</f>
        <v>0</v>
      </c>
      <c r="H14" s="210">
        <f ca="1">H11*H9*Assumptions!$I$37</f>
        <v>3359482.3719759551</v>
      </c>
      <c r="I14" s="210">
        <f ca="1">I11*I9*Assumptions!$I$37</f>
        <v>3409874.6075555938</v>
      </c>
      <c r="J14" s="210">
        <f ca="1">J11*J9*Assumptions!$I$37</f>
        <v>3461022.7266689274</v>
      </c>
      <c r="K14" s="210">
        <f ca="1">K11*K9*Assumptions!$I$37</f>
        <v>3512938.0675689606</v>
      </c>
      <c r="L14" s="210">
        <f ca="1">L11*L9*Assumptions!$I$37</f>
        <v>3565632.1385824946</v>
      </c>
      <c r="M14" s="210">
        <f ca="1">M11*M9*Assumptions!$I$37</f>
        <v>3619116.6206612317</v>
      </c>
      <c r="N14" s="210">
        <f ca="1">N11*N9*Assumptions!$I$37</f>
        <v>3673403.3699711496</v>
      </c>
      <c r="O14" s="210">
        <f ca="1">O11*O9*Assumptions!$I$37</f>
        <v>3728504.4205207163</v>
      </c>
      <c r="P14" s="210">
        <f ca="1">P11*P9*Assumptions!$I$37</f>
        <v>3784431.9868285274</v>
      </c>
      <c r="Q14" s="210">
        <f ca="1">Q11*Q9*Assumptions!$I$37</f>
        <v>3841198.4666309548</v>
      </c>
      <c r="R14" s="210">
        <f ca="1">R11*R9*Assumptions!$I$37</f>
        <v>3898816.4436304187</v>
      </c>
    </row>
    <row r="15" spans="1:18">
      <c r="B15" s="123" t="s">
        <v>416</v>
      </c>
      <c r="C15" s="123"/>
      <c r="D15" s="210">
        <f ca="1">-D14*Assumptions!$X$50</f>
        <v>0</v>
      </c>
      <c r="E15" s="210">
        <f ca="1">-E14*Assumptions!$X$50</f>
        <v>0</v>
      </c>
      <c r="F15" s="210">
        <f ca="1">-F14*Assumptions!$X$50</f>
        <v>0</v>
      </c>
      <c r="G15" s="210">
        <f ca="1">-G14*Assumptions!$X$50</f>
        <v>0</v>
      </c>
      <c r="H15" s="210">
        <f ca="1">-H14*Assumptions!$X$50</f>
        <v>-100784.47115927865</v>
      </c>
      <c r="I15" s="210">
        <f ca="1">-I14*Assumptions!$X$50</f>
        <v>-102296.23822666782</v>
      </c>
      <c r="J15" s="210">
        <f ca="1">-J14*Assumptions!$X$50</f>
        <v>-103830.68180006782</v>
      </c>
      <c r="K15" s="210">
        <f ca="1">-K14*Assumptions!$X$50</f>
        <v>-105388.14202706881</v>
      </c>
      <c r="L15" s="210">
        <f ca="1">-L14*Assumptions!$X$50</f>
        <v>-106968.96415747484</v>
      </c>
      <c r="M15" s="210">
        <f ca="1">-M14*Assumptions!$X$50</f>
        <v>-108573.49861983694</v>
      </c>
      <c r="N15" s="210">
        <f ca="1">-N14*Assumptions!$X$50</f>
        <v>-110202.10109913448</v>
      </c>
      <c r="O15" s="210">
        <f ca="1">-O14*Assumptions!$X$50</f>
        <v>-111855.13261562149</v>
      </c>
      <c r="P15" s="210">
        <f ca="1">-P14*Assumptions!$X$50</f>
        <v>-113532.95960485582</v>
      </c>
      <c r="Q15" s="210">
        <f ca="1">-Q14*Assumptions!$X$50</f>
        <v>-115235.95399892864</v>
      </c>
      <c r="R15" s="210">
        <f ca="1">-R14*Assumptions!$X$50</f>
        <v>-116964.49330891256</v>
      </c>
    </row>
    <row r="16" spans="1:18">
      <c r="B16" s="128" t="s">
        <v>417</v>
      </c>
      <c r="C16" s="128"/>
      <c r="D16" s="210">
        <f ca="1">D14+D15</f>
        <v>0</v>
      </c>
      <c r="E16" s="210">
        <f t="shared" ref="E16:N16" ca="1" si="21">E14+E15</f>
        <v>0</v>
      </c>
      <c r="F16" s="210">
        <f t="shared" ca="1" si="21"/>
        <v>0</v>
      </c>
      <c r="G16" s="210">
        <f t="shared" ca="1" si="21"/>
        <v>0</v>
      </c>
      <c r="H16" s="210">
        <f t="shared" ca="1" si="21"/>
        <v>3258697.9008166762</v>
      </c>
      <c r="I16" s="210">
        <f t="shared" ca="1" si="21"/>
        <v>3307578.3693289259</v>
      </c>
      <c r="J16" s="210">
        <f t="shared" ca="1" si="21"/>
        <v>3357192.0448688595</v>
      </c>
      <c r="K16" s="210">
        <f t="shared" ca="1" si="21"/>
        <v>3407549.9255418917</v>
      </c>
      <c r="L16" s="210">
        <f t="shared" ca="1" si="21"/>
        <v>3458663.1744250199</v>
      </c>
      <c r="M16" s="210">
        <f t="shared" ca="1" si="21"/>
        <v>3510543.1220413949</v>
      </c>
      <c r="N16" s="210">
        <f t="shared" ca="1" si="21"/>
        <v>3563201.2688720152</v>
      </c>
      <c r="O16" s="210">
        <f t="shared" ref="O16" ca="1" si="22">O14+O15</f>
        <v>3616649.2879050947</v>
      </c>
      <c r="P16" s="210">
        <f t="shared" ref="P16" ca="1" si="23">P14+P15</f>
        <v>3670899.0272236718</v>
      </c>
      <c r="Q16" s="210">
        <f t="shared" ref="Q16" ca="1" si="24">Q14+Q15</f>
        <v>3725962.5126320263</v>
      </c>
      <c r="R16" s="210">
        <f t="shared" ref="R16" ca="1" si="25">R14+R15</f>
        <v>3781851.9503215062</v>
      </c>
    </row>
    <row r="17" spans="2:18">
      <c r="B17" s="128"/>
      <c r="C17" s="128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</row>
    <row r="18" spans="2:18">
      <c r="B18" s="128" t="s">
        <v>418</v>
      </c>
      <c r="C18" s="128"/>
      <c r="D18" s="210">
        <f ca="1">D16*(1-D20)</f>
        <v>0</v>
      </c>
      <c r="E18" s="210">
        <f t="shared" ref="E18:N18" ca="1" si="26">E16*(1-E20)</f>
        <v>0</v>
      </c>
      <c r="F18" s="210">
        <f t="shared" ca="1" si="26"/>
        <v>0</v>
      </c>
      <c r="G18" s="210">
        <f t="shared" ca="1" si="26"/>
        <v>0</v>
      </c>
      <c r="H18" s="210">
        <f t="shared" ca="1" si="26"/>
        <v>651739.58016333508</v>
      </c>
      <c r="I18" s="210">
        <f t="shared" ca="1" si="26"/>
        <v>661515.67386578501</v>
      </c>
      <c r="J18" s="210">
        <f t="shared" ca="1" si="26"/>
        <v>671438.40897377173</v>
      </c>
      <c r="K18" s="210">
        <f t="shared" ca="1" si="26"/>
        <v>681509.98510837823</v>
      </c>
      <c r="L18" s="210">
        <f t="shared" ca="1" si="26"/>
        <v>691732.63488500379</v>
      </c>
      <c r="M18" s="210">
        <f t="shared" ca="1" si="26"/>
        <v>702108.62440827885</v>
      </c>
      <c r="N18" s="210">
        <f t="shared" ca="1" si="26"/>
        <v>712640.2537744029</v>
      </c>
      <c r="O18" s="210">
        <f t="shared" ref="O18:R18" ca="1" si="27">O16*(1-O20)</f>
        <v>723329.85758101882</v>
      </c>
      <c r="P18" s="210">
        <f t="shared" ca="1" si="27"/>
        <v>734179.80544473417</v>
      </c>
      <c r="Q18" s="210">
        <f t="shared" ca="1" si="27"/>
        <v>745192.50252640515</v>
      </c>
      <c r="R18" s="210">
        <f t="shared" ca="1" si="27"/>
        <v>756370.39006430109</v>
      </c>
    </row>
    <row r="19" spans="2:18"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</row>
    <row r="20" spans="2:18">
      <c r="B20" s="123" t="s">
        <v>419</v>
      </c>
      <c r="C20" s="123"/>
      <c r="D20" s="51">
        <f>Assumptions!$X$80</f>
        <v>0.8</v>
      </c>
      <c r="E20" s="51">
        <f>Assumptions!$X$80</f>
        <v>0.8</v>
      </c>
      <c r="F20" s="51">
        <f>Assumptions!$X$80</f>
        <v>0.8</v>
      </c>
      <c r="G20" s="51">
        <f>Assumptions!$X$80</f>
        <v>0.8</v>
      </c>
      <c r="H20" s="51">
        <f>Assumptions!$X$80</f>
        <v>0.8</v>
      </c>
      <c r="I20" s="51">
        <f>Assumptions!$X$80</f>
        <v>0.8</v>
      </c>
      <c r="J20" s="51">
        <f>Assumptions!$X$80</f>
        <v>0.8</v>
      </c>
      <c r="K20" s="51">
        <f>Assumptions!$X$80</f>
        <v>0.8</v>
      </c>
      <c r="L20" s="51">
        <f>Assumptions!$X$80</f>
        <v>0.8</v>
      </c>
      <c r="M20" s="51">
        <f>Assumptions!$X$80</f>
        <v>0.8</v>
      </c>
      <c r="N20" s="51">
        <f>Assumptions!$X$80</f>
        <v>0.8</v>
      </c>
      <c r="O20" s="51">
        <f>Assumptions!$X$80</f>
        <v>0.8</v>
      </c>
      <c r="P20" s="51">
        <f>Assumptions!$X$80</f>
        <v>0.8</v>
      </c>
      <c r="Q20" s="51">
        <f>Assumptions!$X$80</f>
        <v>0.8</v>
      </c>
      <c r="R20" s="51">
        <f>Assumptions!$X$80</f>
        <v>0.8</v>
      </c>
    </row>
    <row r="21" spans="2:18">
      <c r="B21" s="123"/>
      <c r="C21" s="1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</row>
    <row r="22" spans="2:18">
      <c r="B22" s="298" t="s">
        <v>420</v>
      </c>
      <c r="C22" s="298"/>
      <c r="D22" s="301">
        <f ca="1">D20*D16</f>
        <v>0</v>
      </c>
      <c r="E22" s="301">
        <f t="shared" ref="E22:N22" ca="1" si="28">E20*E16</f>
        <v>0</v>
      </c>
      <c r="F22" s="301">
        <f t="shared" ca="1" si="28"/>
        <v>0</v>
      </c>
      <c r="G22" s="301">
        <f t="shared" ca="1" si="28"/>
        <v>0</v>
      </c>
      <c r="H22" s="301">
        <f t="shared" ca="1" si="28"/>
        <v>2606958.3206533412</v>
      </c>
      <c r="I22" s="301">
        <f t="shared" ca="1" si="28"/>
        <v>2646062.695463141</v>
      </c>
      <c r="J22" s="301">
        <f t="shared" ca="1" si="28"/>
        <v>2685753.6358950878</v>
      </c>
      <c r="K22" s="301">
        <f t="shared" ca="1" si="28"/>
        <v>2726039.9404335134</v>
      </c>
      <c r="L22" s="301">
        <f t="shared" ca="1" si="28"/>
        <v>2766930.5395400161</v>
      </c>
      <c r="M22" s="301">
        <f t="shared" ca="1" si="28"/>
        <v>2808434.4976331163</v>
      </c>
      <c r="N22" s="301">
        <f t="shared" ca="1" si="28"/>
        <v>2850561.0150976125</v>
      </c>
      <c r="O22" s="301">
        <f t="shared" ref="O22:R22" ca="1" si="29">O20*O16</f>
        <v>2893319.4303240757</v>
      </c>
      <c r="P22" s="301">
        <f t="shared" ca="1" si="29"/>
        <v>2936719.2217789376</v>
      </c>
      <c r="Q22" s="301">
        <f t="shared" ca="1" si="29"/>
        <v>2980770.0101056211</v>
      </c>
      <c r="R22" s="301">
        <f t="shared" ca="1" si="29"/>
        <v>3025481.5602572053</v>
      </c>
    </row>
    <row r="23" spans="2:18">
      <c r="B23" s="127" t="s">
        <v>421</v>
      </c>
      <c r="C23" s="127"/>
      <c r="D23" s="210">
        <f ca="1">D22/Assumptions!$X$89</f>
        <v>0</v>
      </c>
      <c r="E23" s="210">
        <f ca="1">E22/Assumptions!$X$89</f>
        <v>0</v>
      </c>
      <c r="F23" s="210">
        <f ca="1">F22/Assumptions!$X$89</f>
        <v>0</v>
      </c>
      <c r="G23" s="210">
        <f ca="1">G22/Assumptions!$X$89</f>
        <v>0</v>
      </c>
      <c r="H23" s="210">
        <f ca="1">H22/Assumptions!$X$89</f>
        <v>43449305.344222359</v>
      </c>
      <c r="I23" s="210">
        <f ca="1">I22/Assumptions!$X$89</f>
        <v>44101044.924385682</v>
      </c>
      <c r="J23" s="210">
        <f ca="1">J22/Assumptions!$X$89</f>
        <v>44762560.598251469</v>
      </c>
      <c r="K23" s="210">
        <f ca="1">K22/Assumptions!$X$89</f>
        <v>45433999.007225223</v>
      </c>
      <c r="L23" s="210">
        <f ca="1">L22/Assumptions!$X$89</f>
        <v>46115508.992333606</v>
      </c>
      <c r="M23" s="210">
        <f ca="1">M22/Assumptions!$X$89</f>
        <v>46807241.627218604</v>
      </c>
      <c r="N23" s="210">
        <f ca="1">N22/Assumptions!$X$89</f>
        <v>47509350.251626879</v>
      </c>
      <c r="O23" s="210">
        <f ca="1">O22/Assumptions!$X$89</f>
        <v>48221990.505401261</v>
      </c>
      <c r="P23" s="210">
        <f ca="1">P22/Assumptions!$X$89</f>
        <v>48945320.362982295</v>
      </c>
      <c r="Q23" s="210">
        <f ca="1">Q22/Assumptions!$X$89</f>
        <v>49679500.16842702</v>
      </c>
      <c r="R23" s="210">
        <f ca="1">R22/Assumptions!$X$89</f>
        <v>50424692.670953423</v>
      </c>
    </row>
    <row r="24" spans="2:18">
      <c r="B24" s="127"/>
      <c r="C24" s="127"/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</row>
    <row r="25" spans="2:18">
      <c r="B25" s="279"/>
      <c r="C25" s="279"/>
      <c r="D25" s="279">
        <f>D2</f>
        <v>2026</v>
      </c>
      <c r="E25" s="279">
        <f>E2</f>
        <v>2027</v>
      </c>
      <c r="F25" s="279">
        <f>F2</f>
        <v>2028</v>
      </c>
      <c r="G25" s="279">
        <f>G2</f>
        <v>2029</v>
      </c>
      <c r="H25" s="279">
        <f>H2</f>
        <v>2030</v>
      </c>
      <c r="I25" s="279">
        <f>I2</f>
        <v>2031</v>
      </c>
      <c r="J25" s="279">
        <f>J2</f>
        <v>2032</v>
      </c>
      <c r="K25" s="279">
        <f>K2</f>
        <v>2033</v>
      </c>
      <c r="L25" s="279">
        <f>L2</f>
        <v>2034</v>
      </c>
      <c r="M25" s="279">
        <f>M2</f>
        <v>2035</v>
      </c>
      <c r="N25" s="279">
        <f>N2</f>
        <v>2036</v>
      </c>
      <c r="O25" s="279">
        <f t="shared" ref="O25:R25" si="30">O2</f>
        <v>2037</v>
      </c>
      <c r="P25" s="279">
        <f t="shared" si="30"/>
        <v>2038</v>
      </c>
      <c r="Q25" s="279">
        <f t="shared" si="30"/>
        <v>2039</v>
      </c>
      <c r="R25" s="279">
        <f t="shared" si="30"/>
        <v>2040</v>
      </c>
    </row>
    <row r="26" spans="2:18" ht="18">
      <c r="B26" s="303" t="s">
        <v>95</v>
      </c>
      <c r="C26" s="281"/>
      <c r="D26" s="281">
        <f>D3</f>
        <v>46387</v>
      </c>
      <c r="E26" s="281">
        <f>E3</f>
        <v>46752</v>
      </c>
      <c r="F26" s="281">
        <f>F3</f>
        <v>47118</v>
      </c>
      <c r="G26" s="281">
        <f>G3</f>
        <v>47483</v>
      </c>
      <c r="H26" s="281">
        <f>H3</f>
        <v>47848</v>
      </c>
      <c r="I26" s="281">
        <f>I3</f>
        <v>48213</v>
      </c>
      <c r="J26" s="281">
        <f>J3</f>
        <v>48579</v>
      </c>
      <c r="K26" s="281">
        <f>K3</f>
        <v>48944</v>
      </c>
      <c r="L26" s="281">
        <f>L3</f>
        <v>49309</v>
      </c>
      <c r="M26" s="281">
        <f>M3</f>
        <v>49674</v>
      </c>
      <c r="N26" s="281">
        <f>N3</f>
        <v>50040</v>
      </c>
      <c r="O26" s="281">
        <f t="shared" ref="O26:R26" si="31">O3</f>
        <v>50405</v>
      </c>
      <c r="P26" s="281">
        <f t="shared" si="31"/>
        <v>50770</v>
      </c>
      <c r="Q26" s="281">
        <f t="shared" si="31"/>
        <v>51135</v>
      </c>
      <c r="R26" s="281">
        <f t="shared" si="31"/>
        <v>51501</v>
      </c>
    </row>
    <row r="27" spans="2:18">
      <c r="B27" s="134"/>
      <c r="C27" s="134"/>
    </row>
    <row r="28" spans="2:18">
      <c r="B28" s="123" t="s">
        <v>408</v>
      </c>
      <c r="C28" s="123"/>
      <c r="D28" s="91">
        <f>+IF(AND(D3&gt;=Housing!$E$8,D3&lt;Housing!$E$10),Assumptions!$I$65/ROUNDUP((Housing!$E$9/12),0),0)</f>
        <v>0</v>
      </c>
      <c r="E28" s="91">
        <f>+IF(AND(E3&gt;=Housing!$E$8,E3&lt;Housing!$E$10),Assumptions!$I$65/ROUNDUP((Housing!$E$9/12),0),0)</f>
        <v>0</v>
      </c>
      <c r="F28" s="91">
        <f>+IF(AND(F3&gt;=Housing!$E$8,F3&lt;Housing!$E$10),Assumptions!$I$65/ROUNDUP((Housing!$E$9/12),0),0)</f>
        <v>0</v>
      </c>
      <c r="G28" s="91">
        <f>+IF(AND(G3&gt;=Housing!$E$8,G3&lt;Housing!$E$10),Assumptions!$I$65/ROUNDUP((Housing!$E$9/12),0),0)</f>
        <v>0</v>
      </c>
      <c r="H28" s="91">
        <f>+IF(AND(H3&gt;=Housing!$E$8,H3&lt;Housing!$E$10),Assumptions!$I$65/ROUNDUP((Housing!$E$9/12),0),0)</f>
        <v>187500</v>
      </c>
      <c r="I28" s="91">
        <f>+IF(AND(I3&gt;=Housing!$E$8,I3&lt;Housing!$E$10),Assumptions!$I$65/ROUNDUP((Housing!$E$9/12),0),0)</f>
        <v>0</v>
      </c>
      <c r="J28" s="91">
        <f>+IF(AND(J3&gt;=Housing!$E$8,J3&lt;Housing!$E$10),Assumptions!$I$65/ROUNDUP((Housing!$E$9/12),0),0)</f>
        <v>0</v>
      </c>
      <c r="K28" s="91">
        <f>+IF(AND(K3&gt;=Housing!$E$8,K3&lt;Housing!$E$10),Assumptions!$I$65/ROUNDUP((Housing!$E$9/12),0),0)</f>
        <v>0</v>
      </c>
      <c r="L28" s="91">
        <f>+IF(AND(L3&gt;=Housing!$E$8,L3&lt;Housing!$E$10),Assumptions!$I$65/ROUNDUP((Housing!$E$9/12),0),0)</f>
        <v>0</v>
      </c>
      <c r="M28" s="91">
        <f>+IF(AND(M3&gt;=Housing!$E$8,M3&lt;Housing!$E$10),Assumptions!$I$65/ROUNDUP((Housing!$E$9/12),0),0)</f>
        <v>0</v>
      </c>
      <c r="N28" s="91">
        <f>+IF(AND(N3&gt;=Housing!$E$8,N3&lt;Housing!$E$10),Assumptions!$I$65/ROUNDUP((Housing!$E$9/12),0),0)</f>
        <v>0</v>
      </c>
      <c r="O28" s="91">
        <f>+IF(AND(O3&gt;=Housing!$E$8,O3&lt;Housing!$E$10),Assumptions!$I$65/ROUNDUP((Housing!$E$9/12),0),0)</f>
        <v>0</v>
      </c>
      <c r="P28" s="91">
        <f>+IF(AND(P3&gt;=Housing!$E$8,P3&lt;Housing!$E$10),Assumptions!$I$65/ROUNDUP((Housing!$E$9/12),0),0)</f>
        <v>0</v>
      </c>
      <c r="Q28" s="91">
        <f>+IF(AND(Q3&gt;=Housing!$E$8,Q3&lt;Housing!$E$10),Assumptions!$I$65/ROUNDUP((Housing!$E$9/12),0),0)</f>
        <v>0</v>
      </c>
      <c r="R28" s="91">
        <f>+IF(AND(R3&gt;=Housing!$E$8,R3&lt;Housing!$E$10),Assumptions!$I$65/ROUNDUP((Housing!$E$9/12),0),0)</f>
        <v>0</v>
      </c>
    </row>
    <row r="29" spans="2:18">
      <c r="B29" s="123" t="s">
        <v>409</v>
      </c>
      <c r="C29" s="123"/>
      <c r="D29" s="91">
        <v>0</v>
      </c>
      <c r="E29" s="91">
        <f>D29+E28</f>
        <v>0</v>
      </c>
      <c r="F29" s="91">
        <f t="shared" ref="F29:N29" si="32">E29+F28</f>
        <v>0</v>
      </c>
      <c r="G29" s="91">
        <f t="shared" si="32"/>
        <v>0</v>
      </c>
      <c r="H29" s="91">
        <f t="shared" si="32"/>
        <v>187500</v>
      </c>
      <c r="I29" s="91">
        <f t="shared" si="32"/>
        <v>187500</v>
      </c>
      <c r="J29" s="91">
        <f t="shared" si="32"/>
        <v>187500</v>
      </c>
      <c r="K29" s="91">
        <f t="shared" si="32"/>
        <v>187500</v>
      </c>
      <c r="L29" s="91">
        <f t="shared" si="32"/>
        <v>187500</v>
      </c>
      <c r="M29" s="91">
        <f t="shared" si="32"/>
        <v>187500</v>
      </c>
      <c r="N29" s="91">
        <f t="shared" si="32"/>
        <v>187500</v>
      </c>
      <c r="O29" s="91">
        <f t="shared" ref="O29" si="33">N29+O28</f>
        <v>187500</v>
      </c>
      <c r="P29" s="91">
        <f t="shared" ref="P29" si="34">O29+P28</f>
        <v>187500</v>
      </c>
      <c r="Q29" s="91">
        <f t="shared" ref="Q29" si="35">P29+Q28</f>
        <v>187500</v>
      </c>
      <c r="R29" s="91">
        <f t="shared" ref="R29" si="36">Q29+R28</f>
        <v>187500</v>
      </c>
    </row>
    <row r="30" spans="2:18">
      <c r="B30" s="123" t="s">
        <v>410</v>
      </c>
      <c r="C30" s="123"/>
      <c r="D30" s="91">
        <f>+IF(AND(D3&gt;=Housing!$E$8,D3&lt;Housing!$E$10),Assumptions!$I$66/ROUNDUP((Housing!$E$9/12),0),0)</f>
        <v>0</v>
      </c>
      <c r="E30" s="91">
        <f>+IF(AND(E3&gt;=Housing!$E$8,E3&lt;Housing!$E$10),Assumptions!$I$66/ROUNDUP((Housing!$E$9/12),0),0)</f>
        <v>0</v>
      </c>
      <c r="F30" s="91">
        <f>+IF(AND(F3&gt;=Housing!$E$8,F3&lt;Housing!$E$10),Assumptions!$I$66/ROUNDUP((Housing!$E$9/12),0),0)</f>
        <v>0</v>
      </c>
      <c r="G30" s="91">
        <f>+IF(AND(G3&gt;=Housing!$E$8,G3&lt;Housing!$E$10),Assumptions!$I$66/ROUNDUP((Housing!$E$9/12),0),0)</f>
        <v>0</v>
      </c>
      <c r="H30" s="91">
        <f>+IF(AND(H3&gt;=Housing!$E$8,H3&lt;Housing!$E$10),Assumptions!$I$66/ROUNDUP((Housing!$E$9/12),0),0)</f>
        <v>250</v>
      </c>
      <c r="I30" s="91">
        <f>+IF(AND(I3&gt;=Housing!$E$8,I3&lt;Housing!$E$10),Assumptions!$I$66/ROUNDUP((Housing!$E$9/12),0),0)</f>
        <v>0</v>
      </c>
      <c r="J30" s="91">
        <f>+IF(AND(J3&gt;=Housing!$E$8,J3&lt;Housing!$E$10),Assumptions!$I$66/ROUNDUP((Housing!$E$9/12),0),0)</f>
        <v>0</v>
      </c>
      <c r="K30" s="91">
        <f>+IF(AND(K3&gt;=Housing!$E$8,K3&lt;Housing!$E$10),Assumptions!$I$66/ROUNDUP((Housing!$E$9/12),0),0)</f>
        <v>0</v>
      </c>
      <c r="L30" s="91">
        <f>+IF(AND(L3&gt;=Housing!$E$8,L3&lt;Housing!$E$10),Assumptions!$I$66/ROUNDUP((Housing!$E$9/12),0),0)</f>
        <v>0</v>
      </c>
      <c r="M30" s="91">
        <f>+IF(AND(M3&gt;=Housing!$E$8,M3&lt;Housing!$E$10),Assumptions!$I$66/ROUNDUP((Housing!$E$9/12),0),0)</f>
        <v>0</v>
      </c>
      <c r="N30" s="91">
        <f>+IF(AND(N3&gt;=Housing!$E$8,N3&lt;Housing!$E$10),Assumptions!$I$66/ROUNDUP((Housing!$E$9/12),0),0)</f>
        <v>0</v>
      </c>
      <c r="O30" s="91">
        <f>+IF(AND(O3&gt;=Housing!$E$8,O3&lt;Housing!$E$10),Assumptions!$I$66/ROUNDUP((Housing!$E$9/12),0),0)</f>
        <v>0</v>
      </c>
      <c r="P30" s="91">
        <f>+IF(AND(P3&gt;=Housing!$E$8,P3&lt;Housing!$E$10),Assumptions!$I$66/ROUNDUP((Housing!$E$9/12),0),0)</f>
        <v>0</v>
      </c>
      <c r="Q30" s="91">
        <f>+IF(AND(Q3&gt;=Housing!$E$8,Q3&lt;Housing!$E$10),Assumptions!$I$66/ROUNDUP((Housing!$E$9/12),0),0)</f>
        <v>0</v>
      </c>
      <c r="R30" s="91">
        <f>+IF(AND(R3&gt;=Housing!$E$8,R3&lt;Housing!$E$10),Assumptions!$I$66/ROUNDUP((Housing!$E$9/12),0),0)</f>
        <v>0</v>
      </c>
    </row>
    <row r="31" spans="2:18">
      <c r="B31" s="123" t="s">
        <v>411</v>
      </c>
      <c r="C31" s="123"/>
      <c r="D31" s="91">
        <v>0</v>
      </c>
      <c r="E31" s="91">
        <f>E30+D31</f>
        <v>0</v>
      </c>
      <c r="F31" s="91">
        <f t="shared" ref="F31:N31" si="37">F30+E31</f>
        <v>0</v>
      </c>
      <c r="G31" s="91">
        <f t="shared" si="37"/>
        <v>0</v>
      </c>
      <c r="H31" s="91">
        <f t="shared" si="37"/>
        <v>250</v>
      </c>
      <c r="I31" s="91">
        <f t="shared" si="37"/>
        <v>250</v>
      </c>
      <c r="J31" s="91">
        <f t="shared" si="37"/>
        <v>250</v>
      </c>
      <c r="K31" s="91">
        <f t="shared" si="37"/>
        <v>250</v>
      </c>
      <c r="L31" s="91">
        <f t="shared" si="37"/>
        <v>250</v>
      </c>
      <c r="M31" s="91">
        <f t="shared" si="37"/>
        <v>250</v>
      </c>
      <c r="N31" s="91">
        <f t="shared" si="37"/>
        <v>250</v>
      </c>
      <c r="O31" s="91">
        <f t="shared" ref="O31" si="38">O30+N31</f>
        <v>250</v>
      </c>
      <c r="P31" s="91">
        <f t="shared" ref="P31" si="39">P30+O31</f>
        <v>250</v>
      </c>
      <c r="Q31" s="91">
        <f t="shared" ref="Q31" si="40">Q30+P31</f>
        <v>250</v>
      </c>
      <c r="R31" s="91">
        <f t="shared" ref="R31" si="41">R30+Q31</f>
        <v>250</v>
      </c>
    </row>
    <row r="32" spans="2:18">
      <c r="B32" s="123" t="s">
        <v>412</v>
      </c>
      <c r="C32" s="123"/>
      <c r="D32" s="85">
        <f>D31/SUM($D$30:$N$30)</f>
        <v>0</v>
      </c>
      <c r="E32" s="85">
        <f t="shared" ref="E32:N32" si="42">E31/SUM($D$30:$N$30)</f>
        <v>0</v>
      </c>
      <c r="F32" s="85">
        <f t="shared" si="42"/>
        <v>0</v>
      </c>
      <c r="G32" s="85">
        <f t="shared" si="42"/>
        <v>0</v>
      </c>
      <c r="H32" s="85">
        <f t="shared" si="42"/>
        <v>1</v>
      </c>
      <c r="I32" s="85">
        <f t="shared" si="42"/>
        <v>1</v>
      </c>
      <c r="J32" s="85">
        <f t="shared" si="42"/>
        <v>1</v>
      </c>
      <c r="K32" s="85">
        <f t="shared" si="42"/>
        <v>1</v>
      </c>
      <c r="L32" s="85">
        <f t="shared" si="42"/>
        <v>1</v>
      </c>
      <c r="M32" s="85">
        <f t="shared" si="42"/>
        <v>1</v>
      </c>
      <c r="N32" s="85">
        <f t="shared" si="42"/>
        <v>1</v>
      </c>
      <c r="O32" s="85">
        <f t="shared" ref="O32" si="43">O31/SUM($D$30:$N$30)</f>
        <v>1</v>
      </c>
      <c r="P32" s="85">
        <f t="shared" ref="P32" si="44">P31/SUM($D$30:$N$30)</f>
        <v>1</v>
      </c>
      <c r="Q32" s="85">
        <f t="shared" ref="Q32" si="45">Q31/SUM($D$30:$N$30)</f>
        <v>1</v>
      </c>
      <c r="R32" s="85">
        <f t="shared" ref="R32" si="46">R31/SUM($D$30:$N$30)</f>
        <v>1</v>
      </c>
    </row>
    <row r="33" spans="2:18">
      <c r="B33" s="123"/>
      <c r="C33" s="123"/>
    </row>
    <row r="34" spans="2:18">
      <c r="B34" s="123" t="s">
        <v>413</v>
      </c>
      <c r="C34" s="123"/>
      <c r="D34" s="51">
        <v>1</v>
      </c>
      <c r="E34" s="209">
        <f>D34*(1+Assumptions!$X$59)</f>
        <v>1.03</v>
      </c>
      <c r="F34" s="209">
        <f>E34*(1+Assumptions!$X$59)</f>
        <v>1.0609</v>
      </c>
      <c r="G34" s="209">
        <f>F34*(1+Assumptions!$X$59)</f>
        <v>1.092727</v>
      </c>
      <c r="H34" s="209">
        <f>G34*(1+Assumptions!$X$59)</f>
        <v>1.1255088100000001</v>
      </c>
      <c r="I34" s="209">
        <f>H34*(1+Assumptions!$X$59)</f>
        <v>1.1592740743000001</v>
      </c>
      <c r="J34" s="209">
        <f>I34*(1+Assumptions!$X$59)</f>
        <v>1.1940522965290001</v>
      </c>
      <c r="K34" s="209">
        <f>J34*(1+Assumptions!$X$59)</f>
        <v>1.2298738654248702</v>
      </c>
      <c r="L34" s="209">
        <f>K34*(1+Assumptions!$X$59)</f>
        <v>1.2667700813876164</v>
      </c>
      <c r="M34" s="209">
        <f>L34*(1+Assumptions!$X$59)</f>
        <v>1.3047731838292449</v>
      </c>
      <c r="N34" s="209">
        <f>M34*(1+Assumptions!$X$59)</f>
        <v>1.3439163793441222</v>
      </c>
      <c r="O34" s="209">
        <f>N34*(1+Assumptions!$X$59)</f>
        <v>1.3842338707244459</v>
      </c>
      <c r="P34" s="209">
        <f>O34*(1+Assumptions!$X$59)</f>
        <v>1.4257608868461793</v>
      </c>
      <c r="Q34" s="209">
        <f>P34*(1+Assumptions!$X$59)</f>
        <v>1.4685337134515648</v>
      </c>
      <c r="R34" s="209">
        <f>Q34*(1+Assumptions!$X$59)</f>
        <v>1.5125897248551119</v>
      </c>
    </row>
    <row r="35" spans="2:18">
      <c r="B35" s="123" t="s">
        <v>414</v>
      </c>
      <c r="C35" s="123"/>
      <c r="D35" s="51">
        <v>1</v>
      </c>
      <c r="E35" s="209">
        <f>D35*(1+Assumptions!$X$69)</f>
        <v>1.03</v>
      </c>
      <c r="F35" s="209">
        <f>E35*(1+Assumptions!$X$69)</f>
        <v>1.0609</v>
      </c>
      <c r="G35" s="209">
        <f>F35*(1+Assumptions!$X$69)</f>
        <v>1.092727</v>
      </c>
      <c r="H35" s="209">
        <f>G35*(1+Assumptions!$X$69)</f>
        <v>1.1255088100000001</v>
      </c>
      <c r="I35" s="209">
        <f>H35*(1+Assumptions!$X$69)</f>
        <v>1.1592740743000001</v>
      </c>
      <c r="J35" s="209">
        <f>I35*(1+Assumptions!$X$69)</f>
        <v>1.1940522965290001</v>
      </c>
      <c r="K35" s="209">
        <f>J35*(1+Assumptions!$X$69)</f>
        <v>1.2298738654248702</v>
      </c>
      <c r="L35" s="209">
        <f>K35*(1+Assumptions!$X$69)</f>
        <v>1.2667700813876164</v>
      </c>
      <c r="M35" s="209">
        <f>L35*(1+Assumptions!$X$69)</f>
        <v>1.3047731838292449</v>
      </c>
      <c r="N35" s="209">
        <f>M35*(1+Assumptions!$X$69)</f>
        <v>1.3439163793441222</v>
      </c>
      <c r="O35" s="209">
        <f>N35*(1+Assumptions!$X$69)</f>
        <v>1.3842338707244459</v>
      </c>
      <c r="P35" s="209">
        <f>O35*(1+Assumptions!$X$69)</f>
        <v>1.4257608868461793</v>
      </c>
      <c r="Q35" s="209">
        <f>P35*(1+Assumptions!$X$69)</f>
        <v>1.4685337134515648</v>
      </c>
      <c r="R35" s="209">
        <f>Q35*(1+Assumptions!$X$69)</f>
        <v>1.5125897248551119</v>
      </c>
    </row>
    <row r="36" spans="2:18">
      <c r="B36" s="123"/>
      <c r="C36" s="123"/>
    </row>
    <row r="37" spans="2:18">
      <c r="B37" s="123" t="s">
        <v>415</v>
      </c>
      <c r="C37" s="123"/>
      <c r="D37" s="147">
        <f ca="1">D34*D32*Assumptions!$I$64</f>
        <v>0</v>
      </c>
      <c r="E37" s="147">
        <f ca="1">E34*E32*Assumptions!$I$64</f>
        <v>0</v>
      </c>
      <c r="F37" s="147">
        <f ca="1">F34*F32*Assumptions!$I$64</f>
        <v>0</v>
      </c>
      <c r="G37" s="147">
        <f ca="1">G34*G32*Assumptions!$I$64</f>
        <v>0</v>
      </c>
      <c r="H37" s="147">
        <f ca="1">H34*H32*Assumptions!$I$64</f>
        <v>12592320.152625453</v>
      </c>
      <c r="I37" s="147">
        <f ca="1">I34*I32*Assumptions!$I$64</f>
        <v>12970089.757204216</v>
      </c>
      <c r="J37" s="147">
        <f ca="1">J34*J32*Assumptions!$I$64</f>
        <v>13359192.449920343</v>
      </c>
      <c r="K37" s="147">
        <f ca="1">K34*K32*Assumptions!$I$64</f>
        <v>13759968.223417953</v>
      </c>
      <c r="L37" s="147">
        <f ca="1">L34*L32*Assumptions!$I$64</f>
        <v>14172767.270120492</v>
      </c>
      <c r="M37" s="147">
        <f ca="1">M34*M32*Assumptions!$I$64</f>
        <v>14597950.288224109</v>
      </c>
      <c r="N37" s="147">
        <f ca="1">N34*N32*Assumptions!$I$64</f>
        <v>15035888.796870831</v>
      </c>
      <c r="O37" s="147">
        <f ca="1">O34*O32*Assumptions!$I$64</f>
        <v>15486965.460776957</v>
      </c>
      <c r="P37" s="147">
        <f ca="1">P34*P32*Assumptions!$I$64</f>
        <v>15951574.424600264</v>
      </c>
      <c r="Q37" s="147">
        <f ca="1">Q34*Q32*Assumptions!$I$64</f>
        <v>16430121.657338275</v>
      </c>
      <c r="R37" s="147">
        <f ca="1">R34*R32*Assumptions!$I$64</f>
        <v>16923025.307058424</v>
      </c>
    </row>
    <row r="38" spans="2:18">
      <c r="B38" s="123" t="s">
        <v>416</v>
      </c>
      <c r="C38" s="123"/>
      <c r="D38" s="147">
        <f ca="1">-D37*Assumptions!$X$51</f>
        <v>0</v>
      </c>
      <c r="E38" s="147">
        <f ca="1">-E37*Assumptions!$X$51</f>
        <v>0</v>
      </c>
      <c r="F38" s="147">
        <f ca="1">-F37*Assumptions!$X$51</f>
        <v>0</v>
      </c>
      <c r="G38" s="147">
        <f ca="1">-G37*Assumptions!$X$51</f>
        <v>0</v>
      </c>
      <c r="H38" s="147">
        <f ca="1">-H37*Assumptions!$X$51</f>
        <v>-629616.00763127266</v>
      </c>
      <c r="I38" s="147">
        <f ca="1">-I37*Assumptions!$X$51</f>
        <v>-648504.48786021082</v>
      </c>
      <c r="J38" s="147">
        <f ca="1">-J37*Assumptions!$X$51</f>
        <v>-667959.62249601725</v>
      </c>
      <c r="K38" s="147">
        <f ca="1">-K37*Assumptions!$X$51</f>
        <v>-687998.41117089766</v>
      </c>
      <c r="L38" s="147">
        <f ca="1">-L37*Assumptions!$X$51</f>
        <v>-708638.3635060247</v>
      </c>
      <c r="M38" s="147">
        <f ca="1">-M37*Assumptions!$X$51</f>
        <v>-729897.51441120543</v>
      </c>
      <c r="N38" s="147">
        <f ca="1">-N37*Assumptions!$X$51</f>
        <v>-751794.43984354159</v>
      </c>
      <c r="O38" s="147">
        <f ca="1">-O37*Assumptions!$X$51</f>
        <v>-774348.27303884784</v>
      </c>
      <c r="P38" s="147">
        <f ca="1">-P37*Assumptions!$X$51</f>
        <v>-797578.7212300133</v>
      </c>
      <c r="Q38" s="147">
        <f ca="1">-Q37*Assumptions!$X$51</f>
        <v>-821506.08286691376</v>
      </c>
      <c r="R38" s="147">
        <f ca="1">-R37*Assumptions!$X$51</f>
        <v>-846151.26535292121</v>
      </c>
    </row>
    <row r="39" spans="2:18">
      <c r="B39" s="128" t="s">
        <v>417</v>
      </c>
      <c r="C39" s="128"/>
      <c r="D39" s="147">
        <f ca="1">D38+D37</f>
        <v>0</v>
      </c>
      <c r="E39" s="147">
        <f ca="1">E38+E37</f>
        <v>0</v>
      </c>
      <c r="F39" s="147">
        <f ca="1">F38+F37</f>
        <v>0</v>
      </c>
      <c r="G39" s="147">
        <f ca="1">G38+G37</f>
        <v>0</v>
      </c>
      <c r="H39" s="147">
        <f ca="1">H38+H37</f>
        <v>11962704.144994181</v>
      </c>
      <c r="I39" s="147">
        <f ca="1">I38+I37</f>
        <v>12321585.269344006</v>
      </c>
      <c r="J39" s="147">
        <f ca="1">J38+J37</f>
        <v>12691232.827424325</v>
      </c>
      <c r="K39" s="147">
        <f ca="1">K38+K37</f>
        <v>13071969.812247055</v>
      </c>
      <c r="L39" s="147">
        <f ca="1">L38+L37</f>
        <v>13464128.906614468</v>
      </c>
      <c r="M39" s="147">
        <f ca="1">M38+M37</f>
        <v>13868052.773812903</v>
      </c>
      <c r="N39" s="147">
        <f ca="1">N38+N37</f>
        <v>14284094.35702729</v>
      </c>
      <c r="O39" s="147">
        <f t="shared" ref="O39:R39" ca="1" si="47">O38+O37</f>
        <v>14712617.187738109</v>
      </c>
      <c r="P39" s="147">
        <f t="shared" ca="1" si="47"/>
        <v>15153995.703370251</v>
      </c>
      <c r="Q39" s="147">
        <f t="shared" ca="1" si="47"/>
        <v>15608615.57447136</v>
      </c>
      <c r="R39" s="147">
        <f t="shared" ca="1" si="47"/>
        <v>16076874.041705502</v>
      </c>
    </row>
    <row r="40" spans="2:18">
      <c r="B40" s="128"/>
      <c r="C40" s="128"/>
      <c r="D40" s="138"/>
      <c r="E40" s="138"/>
      <c r="F40" s="138"/>
      <c r="G40" s="138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</row>
    <row r="41" spans="2:18">
      <c r="B41" s="128" t="s">
        <v>418</v>
      </c>
      <c r="C41" s="128"/>
      <c r="D41" s="147">
        <f ca="1">D39*(1-D43)</f>
        <v>0</v>
      </c>
      <c r="E41" s="147">
        <f t="shared" ref="E41:N41" ca="1" si="48">E39*(1-E43)</f>
        <v>0</v>
      </c>
      <c r="F41" s="147">
        <f t="shared" ca="1" si="48"/>
        <v>0</v>
      </c>
      <c r="G41" s="147">
        <f t="shared" ca="1" si="48"/>
        <v>0</v>
      </c>
      <c r="H41" s="147">
        <f t="shared" ca="1" si="48"/>
        <v>4186946.450747963</v>
      </c>
      <c r="I41" s="147">
        <f t="shared" ca="1" si="48"/>
        <v>4312554.8442704016</v>
      </c>
      <c r="J41" s="147">
        <f t="shared" ca="1" si="48"/>
        <v>4441931.4895985136</v>
      </c>
      <c r="K41" s="147">
        <f t="shared" ca="1" si="48"/>
        <v>4575189.4342864687</v>
      </c>
      <c r="L41" s="147">
        <f t="shared" ca="1" si="48"/>
        <v>4712445.1173150633</v>
      </c>
      <c r="M41" s="147">
        <f t="shared" ca="1" si="48"/>
        <v>4853818.470834516</v>
      </c>
      <c r="N41" s="147">
        <f t="shared" ca="1" si="48"/>
        <v>4999433.0249595512</v>
      </c>
      <c r="O41" s="147">
        <f t="shared" ref="O41:R41" ca="1" si="49">O39*(1-O43)</f>
        <v>5149416.0157083375</v>
      </c>
      <c r="P41" s="147">
        <f t="shared" ca="1" si="49"/>
        <v>5303898.4961795872</v>
      </c>
      <c r="Q41" s="147">
        <f t="shared" ca="1" si="49"/>
        <v>5463015.4510649759</v>
      </c>
      <c r="R41" s="147">
        <f t="shared" ca="1" si="49"/>
        <v>5626905.9145969255</v>
      </c>
    </row>
    <row r="42" spans="2:18">
      <c r="B42" s="128"/>
      <c r="C42" s="128"/>
      <c r="D42" s="138"/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</row>
    <row r="43" spans="2:18">
      <c r="B43" s="123" t="s">
        <v>419</v>
      </c>
      <c r="C43" s="123"/>
      <c r="D43" s="85">
        <f>Assumptions!$X$81</f>
        <v>0.65</v>
      </c>
      <c r="E43" s="85">
        <f>Assumptions!$X$81</f>
        <v>0.65</v>
      </c>
      <c r="F43" s="85">
        <f>Assumptions!$X$81</f>
        <v>0.65</v>
      </c>
      <c r="G43" s="85">
        <f>Assumptions!$X$81</f>
        <v>0.65</v>
      </c>
      <c r="H43" s="85">
        <f>Assumptions!$X$81</f>
        <v>0.65</v>
      </c>
      <c r="I43" s="85">
        <f>Assumptions!$X$81</f>
        <v>0.65</v>
      </c>
      <c r="J43" s="85">
        <f>Assumptions!$X$81</f>
        <v>0.65</v>
      </c>
      <c r="K43" s="85">
        <f>Assumptions!$X$81</f>
        <v>0.65</v>
      </c>
      <c r="L43" s="85">
        <f>Assumptions!$X$81</f>
        <v>0.65</v>
      </c>
      <c r="M43" s="85">
        <f>Assumptions!$X$81</f>
        <v>0.65</v>
      </c>
      <c r="N43" s="85">
        <f>Assumptions!$X$81</f>
        <v>0.65</v>
      </c>
      <c r="O43" s="85">
        <f>Assumptions!$X$81</f>
        <v>0.65</v>
      </c>
      <c r="P43" s="85">
        <f>Assumptions!$X$81</f>
        <v>0.65</v>
      </c>
      <c r="Q43" s="85">
        <f>Assumptions!$X$81</f>
        <v>0.65</v>
      </c>
      <c r="R43" s="85">
        <f>Assumptions!$X$81</f>
        <v>0.65</v>
      </c>
    </row>
    <row r="44" spans="2:18">
      <c r="B44" s="123"/>
      <c r="C44" s="123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</row>
    <row r="45" spans="2:18">
      <c r="B45" s="298" t="s">
        <v>420</v>
      </c>
      <c r="C45" s="298"/>
      <c r="D45" s="300">
        <f ca="1">D43*D39</f>
        <v>0</v>
      </c>
      <c r="E45" s="300">
        <f t="shared" ref="E45:N45" ca="1" si="50">E43*E39</f>
        <v>0</v>
      </c>
      <c r="F45" s="300">
        <f t="shared" ca="1" si="50"/>
        <v>0</v>
      </c>
      <c r="G45" s="300">
        <f t="shared" ca="1" si="50"/>
        <v>0</v>
      </c>
      <c r="H45" s="300">
        <f t="shared" ca="1" si="50"/>
        <v>7775757.6942462176</v>
      </c>
      <c r="I45" s="300">
        <f t="shared" ca="1" si="50"/>
        <v>8009030.4250736041</v>
      </c>
      <c r="J45" s="300">
        <f t="shared" ca="1" si="50"/>
        <v>8249301.3378258115</v>
      </c>
      <c r="K45" s="300">
        <f t="shared" ca="1" si="50"/>
        <v>8496780.3779605851</v>
      </c>
      <c r="L45" s="300">
        <f t="shared" ca="1" si="50"/>
        <v>8751683.7892994042</v>
      </c>
      <c r="M45" s="300">
        <f t="shared" ca="1" si="50"/>
        <v>9014234.3029783871</v>
      </c>
      <c r="N45" s="300">
        <f t="shared" ca="1" si="50"/>
        <v>9284661.3320677392</v>
      </c>
      <c r="O45" s="300">
        <f t="shared" ref="O45:R45" ca="1" si="51">O43*O39</f>
        <v>9563201.1720297709</v>
      </c>
      <c r="P45" s="300">
        <f t="shared" ca="1" si="51"/>
        <v>9850097.2071906626</v>
      </c>
      <c r="Q45" s="300">
        <f t="shared" ca="1" si="51"/>
        <v>10145600.123406384</v>
      </c>
      <c r="R45" s="300">
        <f t="shared" ca="1" si="51"/>
        <v>10449968.127108578</v>
      </c>
    </row>
    <row r="46" spans="2:18">
      <c r="B46" s="127" t="s">
        <v>421</v>
      </c>
      <c r="C46" s="127"/>
      <c r="D46" s="147">
        <f ca="1">D45/Assumptions!$X$90</f>
        <v>0</v>
      </c>
      <c r="E46" s="147">
        <f ca="1">E45/Assumptions!$X$90</f>
        <v>0</v>
      </c>
      <c r="F46" s="147">
        <f ca="1">F45/Assumptions!$X$90</f>
        <v>0</v>
      </c>
      <c r="G46" s="147">
        <f ca="1">G45/Assumptions!$X$90</f>
        <v>0</v>
      </c>
      <c r="H46" s="147">
        <f ca="1">H45/Assumptions!$X$90</f>
        <v>194393942.35615543</v>
      </c>
      <c r="I46" s="147">
        <f ca="1">I45/Assumptions!$X$90</f>
        <v>200225760.62684008</v>
      </c>
      <c r="J46" s="147">
        <f ca="1">J45/Assumptions!$X$90</f>
        <v>206232533.44564527</v>
      </c>
      <c r="K46" s="147">
        <f ca="1">K45/Assumptions!$X$90</f>
        <v>212419509.44901463</v>
      </c>
      <c r="L46" s="147">
        <f ca="1">L45/Assumptions!$X$90</f>
        <v>218792094.73248512</v>
      </c>
      <c r="M46" s="147">
        <f ca="1">M45/Assumptions!$X$90</f>
        <v>225355857.57445967</v>
      </c>
      <c r="N46" s="147">
        <f ca="1">N45/Assumptions!$X$90</f>
        <v>232116533.30169347</v>
      </c>
      <c r="O46" s="147">
        <f ca="1">O45/Assumptions!$X$90</f>
        <v>239080029.30074427</v>
      </c>
      <c r="P46" s="147">
        <f ca="1">P45/Assumptions!$X$90</f>
        <v>246252430.17976657</v>
      </c>
      <c r="Q46" s="147">
        <f ca="1">Q45/Assumptions!$X$90</f>
        <v>253640003.0851596</v>
      </c>
      <c r="R46" s="147">
        <f ca="1">R45/Assumptions!$X$90</f>
        <v>261249203.17771444</v>
      </c>
    </row>
    <row r="47" spans="2:18">
      <c r="B47" s="127"/>
      <c r="C47" s="127"/>
      <c r="D47" s="138"/>
      <c r="E47" s="138"/>
      <c r="F47" s="138"/>
      <c r="G47" s="138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</row>
    <row r="48" spans="2:18">
      <c r="B48" s="282"/>
      <c r="C48" s="282"/>
      <c r="D48" s="279">
        <f>D25</f>
        <v>2026</v>
      </c>
      <c r="E48" s="279">
        <f>E25</f>
        <v>2027</v>
      </c>
      <c r="F48" s="279">
        <f>F25</f>
        <v>2028</v>
      </c>
      <c r="G48" s="279">
        <f>G25</f>
        <v>2029</v>
      </c>
      <c r="H48" s="279">
        <f>H25</f>
        <v>2030</v>
      </c>
      <c r="I48" s="279">
        <f>I25</f>
        <v>2031</v>
      </c>
      <c r="J48" s="279">
        <f>J25</f>
        <v>2032</v>
      </c>
      <c r="K48" s="279">
        <f>K25</f>
        <v>2033</v>
      </c>
      <c r="L48" s="279">
        <f>L25</f>
        <v>2034</v>
      </c>
      <c r="M48" s="279">
        <f>M25</f>
        <v>2035</v>
      </c>
      <c r="N48" s="279">
        <f>N25</f>
        <v>2036</v>
      </c>
      <c r="O48" s="279">
        <f t="shared" ref="O48:R48" si="52">O25</f>
        <v>2037</v>
      </c>
      <c r="P48" s="279">
        <f t="shared" si="52"/>
        <v>2038</v>
      </c>
      <c r="Q48" s="279">
        <f t="shared" si="52"/>
        <v>2039</v>
      </c>
      <c r="R48" s="279">
        <f t="shared" si="52"/>
        <v>2040</v>
      </c>
    </row>
    <row r="49" spans="2:18" ht="18">
      <c r="B49" s="302" t="s">
        <v>124</v>
      </c>
      <c r="C49" s="283"/>
      <c r="D49" s="281">
        <f>D26</f>
        <v>46387</v>
      </c>
      <c r="E49" s="281">
        <f>E26</f>
        <v>46752</v>
      </c>
      <c r="F49" s="281">
        <f>F26</f>
        <v>47118</v>
      </c>
      <c r="G49" s="281">
        <f>G26</f>
        <v>47483</v>
      </c>
      <c r="H49" s="281">
        <f>H26</f>
        <v>47848</v>
      </c>
      <c r="I49" s="281">
        <f>I26</f>
        <v>48213</v>
      </c>
      <c r="J49" s="281">
        <f>J26</f>
        <v>48579</v>
      </c>
      <c r="K49" s="281">
        <f>K26</f>
        <v>48944</v>
      </c>
      <c r="L49" s="281">
        <f>L26</f>
        <v>49309</v>
      </c>
      <c r="M49" s="281">
        <f>M26</f>
        <v>49674</v>
      </c>
      <c r="N49" s="281">
        <f>N26</f>
        <v>50040</v>
      </c>
      <c r="O49" s="281">
        <f t="shared" ref="O49:R49" si="53">O26</f>
        <v>50405</v>
      </c>
      <c r="P49" s="281">
        <f t="shared" si="53"/>
        <v>50770</v>
      </c>
      <c r="Q49" s="281">
        <f t="shared" si="53"/>
        <v>51135</v>
      </c>
      <c r="R49" s="281">
        <f t="shared" si="53"/>
        <v>51501</v>
      </c>
    </row>
    <row r="50" spans="2:18">
      <c r="B50" s="134"/>
      <c r="C50" s="134"/>
    </row>
    <row r="51" spans="2:18">
      <c r="B51" s="123" t="s">
        <v>422</v>
      </c>
      <c r="C51" s="123"/>
      <c r="D51" s="91">
        <f>+IF(AND(D49&gt;=Assumptions!$O$86,D49&lt;Assumptions!$O$88),Assumptions!$I$87/ROUNDUP((Assumptions!$O$87/12),0),0)</f>
        <v>0</v>
      </c>
      <c r="E51" s="91">
        <f>+IF(AND(E49&gt;=Assumptions!$O$86,E49&lt;Assumptions!$O$88),Assumptions!$I$87/ROUNDUP((Assumptions!$O$87/12),0),0)</f>
        <v>0</v>
      </c>
      <c r="F51" s="91">
        <f>+IF(AND(F49&gt;=Assumptions!$O$86,F49&lt;Assumptions!$O$88),Assumptions!$I$87/ROUNDUP((Assumptions!$O$87/12),0),0)</f>
        <v>0</v>
      </c>
      <c r="G51" s="91">
        <f>+IF(AND(G49&gt;=Assumptions!$O$86,G49&lt;Assumptions!$O$88),Assumptions!$I$87/ROUNDUP((Assumptions!$O$87/12),0),0)</f>
        <v>0</v>
      </c>
      <c r="H51" s="91">
        <f>+IF(AND(H49&gt;=Assumptions!$O$86,H49&lt;Assumptions!$O$88),Assumptions!$I$87/ROUNDUP((Assumptions!$O$87/12),0),0)</f>
        <v>90000</v>
      </c>
      <c r="I51" s="91">
        <f>+IF(AND(I49&gt;=Assumptions!$O$86,I49&lt;Assumptions!$O$88),Assumptions!$I$87/ROUNDUP((Assumptions!$O$87/12),0),0)</f>
        <v>0</v>
      </c>
      <c r="J51" s="91">
        <f>+IF(AND(J49&gt;=Assumptions!$O$86,J49&lt;Assumptions!$O$88),Assumptions!$I$87/ROUNDUP((Assumptions!$O$87/12),0),0)</f>
        <v>0</v>
      </c>
      <c r="K51" s="91">
        <f>+IF(AND(K49&gt;=Assumptions!$O$86,K49&lt;Assumptions!$O$88),Assumptions!$I$87/ROUNDUP((Assumptions!$O$87/12),0),0)</f>
        <v>0</v>
      </c>
      <c r="L51" s="91">
        <f>+IF(AND(L49&gt;=Assumptions!$O$86,L49&lt;Assumptions!$O$88),Assumptions!$I$87/ROUNDUP((Assumptions!$O$87/12),0),0)</f>
        <v>0</v>
      </c>
      <c r="M51" s="91">
        <f>+IF(AND(M49&gt;=Assumptions!$O$86,M49&lt;Assumptions!$O$88),Assumptions!$I$87/ROUNDUP((Assumptions!$O$87/12),0),0)</f>
        <v>0</v>
      </c>
      <c r="N51" s="91">
        <f>+IF(AND(N49&gt;=Assumptions!$O$86,N49&lt;Assumptions!$O$88),Assumptions!$I$87/ROUNDUP((Assumptions!$O$87/12),0),0)</f>
        <v>0</v>
      </c>
      <c r="O51" s="91">
        <f>+IF(AND(O49&gt;=Assumptions!$O$86,O49&lt;Assumptions!$O$88),Assumptions!$I$87/ROUNDUP((Assumptions!$O$87/12),0),0)</f>
        <v>0</v>
      </c>
      <c r="P51" s="91">
        <f>+IF(AND(P49&gt;=Assumptions!$O$86,P49&lt;Assumptions!$O$88),Assumptions!$I$87/ROUNDUP((Assumptions!$O$87/12),0),0)</f>
        <v>0</v>
      </c>
      <c r="Q51" s="91">
        <f>+IF(AND(Q49&gt;=Assumptions!$O$86,Q49&lt;Assumptions!$O$88),Assumptions!$I$87/ROUNDUP((Assumptions!$O$87/12),0),0)</f>
        <v>0</v>
      </c>
      <c r="R51" s="91">
        <f>+IF(AND(R49&gt;=Assumptions!$O$86,R49&lt;Assumptions!$O$88),Assumptions!$I$87/ROUNDUP((Assumptions!$O$87/12),0),0)</f>
        <v>0</v>
      </c>
    </row>
    <row r="52" spans="2:18">
      <c r="B52" s="123" t="s">
        <v>423</v>
      </c>
      <c r="C52" s="123"/>
      <c r="D52" s="91">
        <v>0</v>
      </c>
      <c r="E52" s="91">
        <f>D52+E51</f>
        <v>0</v>
      </c>
      <c r="F52" s="91">
        <f t="shared" ref="F52:N52" si="54">E52+F51</f>
        <v>0</v>
      </c>
      <c r="G52" s="91">
        <f t="shared" si="54"/>
        <v>0</v>
      </c>
      <c r="H52" s="91">
        <f t="shared" si="54"/>
        <v>90000</v>
      </c>
      <c r="I52" s="91">
        <f t="shared" si="54"/>
        <v>90000</v>
      </c>
      <c r="J52" s="91">
        <f t="shared" si="54"/>
        <v>90000</v>
      </c>
      <c r="K52" s="91">
        <f t="shared" si="54"/>
        <v>90000</v>
      </c>
      <c r="L52" s="91">
        <f t="shared" si="54"/>
        <v>90000</v>
      </c>
      <c r="M52" s="91">
        <f t="shared" si="54"/>
        <v>90000</v>
      </c>
      <c r="N52" s="91">
        <f t="shared" si="54"/>
        <v>90000</v>
      </c>
      <c r="O52" s="91">
        <f t="shared" ref="O52" si="55">N52+O51</f>
        <v>90000</v>
      </c>
      <c r="P52" s="91">
        <f t="shared" ref="P52" si="56">O52+P51</f>
        <v>90000</v>
      </c>
      <c r="Q52" s="91">
        <f t="shared" ref="Q52" si="57">P52+Q51</f>
        <v>90000</v>
      </c>
      <c r="R52" s="91">
        <f t="shared" ref="R52" si="58">Q52+R51</f>
        <v>90000</v>
      </c>
    </row>
    <row r="53" spans="2:18">
      <c r="B53" s="123" t="s">
        <v>412</v>
      </c>
      <c r="C53" s="123"/>
      <c r="D53" s="85">
        <f>D52/SUM($D$51:$N$51)</f>
        <v>0</v>
      </c>
      <c r="E53" s="85">
        <f t="shared" ref="E53:N53" si="59">E52/SUM($D$51:$N$51)</f>
        <v>0</v>
      </c>
      <c r="F53" s="85">
        <f t="shared" si="59"/>
        <v>0</v>
      </c>
      <c r="G53" s="85">
        <f t="shared" si="59"/>
        <v>0</v>
      </c>
      <c r="H53" s="85">
        <f t="shared" si="59"/>
        <v>1</v>
      </c>
      <c r="I53" s="85">
        <f t="shared" si="59"/>
        <v>1</v>
      </c>
      <c r="J53" s="85">
        <f t="shared" si="59"/>
        <v>1</v>
      </c>
      <c r="K53" s="85">
        <f t="shared" si="59"/>
        <v>1</v>
      </c>
      <c r="L53" s="85">
        <f t="shared" si="59"/>
        <v>1</v>
      </c>
      <c r="M53" s="85">
        <f t="shared" si="59"/>
        <v>1</v>
      </c>
      <c r="N53" s="85">
        <f t="shared" si="59"/>
        <v>1</v>
      </c>
      <c r="O53" s="85">
        <f t="shared" ref="O53" si="60">O52/SUM($D$51:$N$51)</f>
        <v>1</v>
      </c>
      <c r="P53" s="85">
        <f t="shared" ref="P53" si="61">P52/SUM($D$51:$N$51)</f>
        <v>1</v>
      </c>
      <c r="Q53" s="85">
        <f t="shared" ref="Q53" si="62">Q52/SUM($D$51:$N$51)</f>
        <v>1</v>
      </c>
      <c r="R53" s="85">
        <f t="shared" ref="R53" si="63">R52/SUM($D$51:$N$51)</f>
        <v>1</v>
      </c>
    </row>
    <row r="54" spans="2:18">
      <c r="B54" s="123"/>
      <c r="C54" s="123"/>
    </row>
    <row r="55" spans="2:18">
      <c r="B55" s="123" t="s">
        <v>413</v>
      </c>
      <c r="C55" s="123"/>
      <c r="D55" s="51">
        <v>1</v>
      </c>
      <c r="E55" s="85">
        <f>D55*(1+Assumptions!$X$62/Assumptions!$X$63)</f>
        <v>1.0333333333333334</v>
      </c>
      <c r="F55" s="85">
        <f>E55*(1+Assumptions!$X$62/Assumptions!$X$63)</f>
        <v>1.0677777777777779</v>
      </c>
      <c r="G55" s="85">
        <f>F55*(1+Assumptions!$X$62/Assumptions!$X$63)</f>
        <v>1.1033703703703706</v>
      </c>
      <c r="H55" s="85">
        <f>G55*(1+Assumptions!$X$62/Assumptions!$X$63)</f>
        <v>1.1401493827160496</v>
      </c>
      <c r="I55" s="85">
        <f>H55*(1+Assumptions!$X$62/Assumptions!$X$63)</f>
        <v>1.178154362139918</v>
      </c>
      <c r="J55" s="85">
        <f>I55*(1+Assumptions!$X$62/Assumptions!$X$63)</f>
        <v>1.2174261742112487</v>
      </c>
      <c r="K55" s="85">
        <f>J55*(1+Assumptions!$X$62/Assumptions!$X$63)</f>
        <v>1.2580070466849571</v>
      </c>
      <c r="L55" s="85">
        <f>K55*(1+Assumptions!$X$62/Assumptions!$X$63)</f>
        <v>1.2999406149077892</v>
      </c>
      <c r="M55" s="85">
        <f>L55*(1+Assumptions!$X$62/Assumptions!$X$63)</f>
        <v>1.343271968738049</v>
      </c>
      <c r="N55" s="85">
        <f>M55*(1+Assumptions!$X$62/Assumptions!$X$63)</f>
        <v>1.3880477010293175</v>
      </c>
      <c r="O55" s="85">
        <f>N55*(1+Assumptions!$X$62/Assumptions!$X$63)</f>
        <v>1.4343159577302949</v>
      </c>
      <c r="P55" s="85">
        <f>O55*(1+Assumptions!$X$62/Assumptions!$X$63)</f>
        <v>1.4821264896546382</v>
      </c>
      <c r="Q55" s="85">
        <f>P55*(1+Assumptions!$X$62/Assumptions!$X$63)</f>
        <v>1.5315307059764596</v>
      </c>
      <c r="R55" s="85">
        <f>Q55*(1+Assumptions!$X$62/Assumptions!$X$63)</f>
        <v>1.5825817295090083</v>
      </c>
    </row>
    <row r="56" spans="2:18">
      <c r="B56" s="123" t="s">
        <v>414</v>
      </c>
      <c r="C56" s="123"/>
      <c r="D56" s="51">
        <v>1</v>
      </c>
      <c r="E56" s="51">
        <f>D56*(1+Assumptions!$X$71)</f>
        <v>1.03</v>
      </c>
      <c r="F56" s="51">
        <f>E56*(1+Assumptions!$X$71)</f>
        <v>1.0609</v>
      </c>
      <c r="G56" s="51">
        <f>F56*(1+Assumptions!$X$71)</f>
        <v>1.092727</v>
      </c>
      <c r="H56" s="51">
        <f>G56*(1+Assumptions!$X$71)</f>
        <v>1.1255088100000001</v>
      </c>
      <c r="I56" s="51">
        <f>H56*(1+Assumptions!$X$71)</f>
        <v>1.1592740743000001</v>
      </c>
      <c r="J56" s="51">
        <f>I56*(1+Assumptions!$X$71)</f>
        <v>1.1940522965290001</v>
      </c>
      <c r="K56" s="51">
        <f>J56*(1+Assumptions!$X$71)</f>
        <v>1.2298738654248702</v>
      </c>
      <c r="L56" s="51">
        <f>K56*(1+Assumptions!$X$71)</f>
        <v>1.2667700813876164</v>
      </c>
      <c r="M56" s="51">
        <f>L56*(1+Assumptions!$X$71)</f>
        <v>1.3047731838292449</v>
      </c>
      <c r="N56" s="51">
        <f>M56*(1+Assumptions!$X$71)</f>
        <v>1.3439163793441222</v>
      </c>
      <c r="O56" s="51">
        <f>N56*(1+Assumptions!$X$71)</f>
        <v>1.3842338707244459</v>
      </c>
      <c r="P56" s="51">
        <f>O56*(1+Assumptions!$X$71)</f>
        <v>1.4257608868461793</v>
      </c>
      <c r="Q56" s="51">
        <f>P56*(1+Assumptions!$X$71)</f>
        <v>1.4685337134515648</v>
      </c>
      <c r="R56" s="51">
        <f>Q56*(1+Assumptions!$X$71)</f>
        <v>1.5125897248551119</v>
      </c>
    </row>
    <row r="57" spans="2:18">
      <c r="B57" s="123"/>
      <c r="C57" s="123"/>
    </row>
    <row r="58" spans="2:18">
      <c r="B58" s="123" t="s">
        <v>415</v>
      </c>
      <c r="C58" s="123"/>
      <c r="D58" s="147">
        <f ca="1">D55*D53*Assumptions!$I$86</f>
        <v>0</v>
      </c>
      <c r="E58" s="147">
        <f ca="1">E55*E53*Assumptions!$I$86</f>
        <v>0</v>
      </c>
      <c r="F58" s="147">
        <f ca="1">F55*F53*Assumptions!$I$86</f>
        <v>0</v>
      </c>
      <c r="G58" s="147">
        <f ca="1">G55*G53*Assumptions!$I$86</f>
        <v>0</v>
      </c>
      <c r="H58" s="147">
        <f ca="1">H55*H53*Assumptions!$I$86</f>
        <v>4241193.2048007604</v>
      </c>
      <c r="I58" s="147">
        <f ca="1">I55*I53*Assumptions!$I$86</f>
        <v>4382566.3116274532</v>
      </c>
      <c r="J58" s="147">
        <f ca="1">J55*J53*Assumptions!$I$86</f>
        <v>4528651.8553483682</v>
      </c>
      <c r="K58" s="147">
        <f ca="1">K55*K53*Assumptions!$I$86</f>
        <v>4679606.917193315</v>
      </c>
      <c r="L58" s="147">
        <f ca="1">L55*L53*Assumptions!$I$86</f>
        <v>4835593.8144330923</v>
      </c>
      <c r="M58" s="147">
        <f ca="1">M55*M53*Assumptions!$I$86</f>
        <v>4996780.2749141958</v>
      </c>
      <c r="N58" s="147">
        <f ca="1">N55*N53*Assumptions!$I$86</f>
        <v>5163339.6174113369</v>
      </c>
      <c r="O58" s="147">
        <f ca="1">O55*O53*Assumptions!$I$86</f>
        <v>5335450.937991715</v>
      </c>
      <c r="P58" s="147">
        <f ca="1">P55*P53*Assumptions!$I$86</f>
        <v>5513299.3025914393</v>
      </c>
      <c r="Q58" s="147">
        <f ca="1">Q55*Q53*Assumptions!$I$86</f>
        <v>5697075.9460111549</v>
      </c>
      <c r="R58" s="147">
        <f ca="1">R55*R53*Assumptions!$I$86</f>
        <v>5886978.47754486</v>
      </c>
    </row>
    <row r="59" spans="2:18">
      <c r="B59" s="123" t="s">
        <v>416</v>
      </c>
      <c r="C59" s="123"/>
      <c r="D59" s="147">
        <f ca="1">-D58*Assumptions!$X$53</f>
        <v>0</v>
      </c>
      <c r="E59" s="147">
        <f ca="1">-E58*Assumptions!$X$53</f>
        <v>0</v>
      </c>
      <c r="F59" s="147">
        <f ca="1">-F58*Assumptions!$X$53</f>
        <v>0</v>
      </c>
      <c r="G59" s="147">
        <f ca="1">-G58*Assumptions!$X$53</f>
        <v>0</v>
      </c>
      <c r="H59" s="147">
        <f ca="1">-H58*Assumptions!$X$53</f>
        <v>-296883.52433605323</v>
      </c>
      <c r="I59" s="147">
        <f ca="1">-I58*Assumptions!$X$53</f>
        <v>-306779.64181392174</v>
      </c>
      <c r="J59" s="147">
        <f ca="1">-J58*Assumptions!$X$53</f>
        <v>-317005.62987438578</v>
      </c>
      <c r="K59" s="147">
        <f ca="1">-K58*Assumptions!$X$53</f>
        <v>-327572.48420353211</v>
      </c>
      <c r="L59" s="147">
        <f ca="1">-L58*Assumptions!$X$53</f>
        <v>-338491.56701031647</v>
      </c>
      <c r="M59" s="147">
        <f ca="1">-M58*Assumptions!$X$53</f>
        <v>-349774.61924399371</v>
      </c>
      <c r="N59" s="147">
        <f ca="1">-N58*Assumptions!$X$53</f>
        <v>-361433.77321879362</v>
      </c>
      <c r="O59" s="147">
        <f ca="1">-O58*Assumptions!$X$53</f>
        <v>-373481.5656594201</v>
      </c>
      <c r="P59" s="147">
        <f ca="1">-P58*Assumptions!$X$53</f>
        <v>-385930.9511814008</v>
      </c>
      <c r="Q59" s="147">
        <f ca="1">-Q58*Assumptions!$X$53</f>
        <v>-398795.31622078089</v>
      </c>
      <c r="R59" s="147">
        <f ca="1">-R58*Assumptions!$X$53</f>
        <v>-412088.49342814024</v>
      </c>
    </row>
    <row r="60" spans="2:18">
      <c r="B60" s="128" t="s">
        <v>417</v>
      </c>
      <c r="C60" s="128"/>
      <c r="D60" s="147">
        <f ca="1">D59+D58</f>
        <v>0</v>
      </c>
      <c r="E60" s="147">
        <f t="shared" ref="E60:N60" ca="1" si="64">E59+E58</f>
        <v>0</v>
      </c>
      <c r="F60" s="147">
        <f t="shared" ca="1" si="64"/>
        <v>0</v>
      </c>
      <c r="G60" s="147">
        <f t="shared" ca="1" si="64"/>
        <v>0</v>
      </c>
      <c r="H60" s="147">
        <f t="shared" ca="1" si="64"/>
        <v>3944309.6804647073</v>
      </c>
      <c r="I60" s="147">
        <f t="shared" ca="1" si="64"/>
        <v>4075786.6698135315</v>
      </c>
      <c r="J60" s="147">
        <f t="shared" ca="1" si="64"/>
        <v>4211646.2254739823</v>
      </c>
      <c r="K60" s="147">
        <f t="shared" ca="1" si="64"/>
        <v>4352034.4329897827</v>
      </c>
      <c r="L60" s="147">
        <f t="shared" ca="1" si="64"/>
        <v>4497102.2474227762</v>
      </c>
      <c r="M60" s="147">
        <f t="shared" ca="1" si="64"/>
        <v>4647005.6556702023</v>
      </c>
      <c r="N60" s="147">
        <f t="shared" ca="1" si="64"/>
        <v>4801905.8441925431</v>
      </c>
      <c r="O60" s="147">
        <f t="shared" ref="O60" ca="1" si="65">O59+O58</f>
        <v>4961969.3723322954</v>
      </c>
      <c r="P60" s="147">
        <f t="shared" ref="P60" ca="1" si="66">P59+P58</f>
        <v>5127368.3514100388</v>
      </c>
      <c r="Q60" s="147">
        <f t="shared" ref="Q60" ca="1" si="67">Q59+Q58</f>
        <v>5298280.6297903741</v>
      </c>
      <c r="R60" s="147">
        <f t="shared" ref="R60" ca="1" si="68">R59+R58</f>
        <v>5474889.98411672</v>
      </c>
    </row>
    <row r="61" spans="2:18">
      <c r="B61" s="128"/>
      <c r="C61" s="128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</row>
    <row r="62" spans="2:18">
      <c r="B62" s="128" t="s">
        <v>418</v>
      </c>
      <c r="C62" s="128"/>
      <c r="D62" s="147">
        <f ca="1">D60*(1-D64)</f>
        <v>0</v>
      </c>
      <c r="E62" s="147">
        <f t="shared" ref="E62:N62" ca="1" si="69">E60*(1-E64)</f>
        <v>0</v>
      </c>
      <c r="F62" s="147">
        <f t="shared" ca="1" si="69"/>
        <v>0</v>
      </c>
      <c r="G62" s="147">
        <f t="shared" ca="1" si="69"/>
        <v>0</v>
      </c>
      <c r="H62" s="147">
        <f t="shared" ca="1" si="69"/>
        <v>118329.29041394133</v>
      </c>
      <c r="I62" s="147">
        <f t="shared" ca="1" si="69"/>
        <v>122273.60009440605</v>
      </c>
      <c r="J62" s="147">
        <f t="shared" ca="1" si="69"/>
        <v>126349.38676421958</v>
      </c>
      <c r="K62" s="147">
        <f t="shared" ca="1" si="69"/>
        <v>130561.0329896936</v>
      </c>
      <c r="L62" s="147">
        <f t="shared" ca="1" si="69"/>
        <v>134913.06742268341</v>
      </c>
      <c r="M62" s="147">
        <f t="shared" ca="1" si="69"/>
        <v>139410.1696701062</v>
      </c>
      <c r="N62" s="147">
        <f t="shared" ca="1" si="69"/>
        <v>144057.17532577642</v>
      </c>
      <c r="O62" s="147">
        <f t="shared" ref="O62:R62" ca="1" si="70">O60*(1-O64)</f>
        <v>148859.08116996899</v>
      </c>
      <c r="P62" s="147">
        <f t="shared" ca="1" si="70"/>
        <v>153821.05054230129</v>
      </c>
      <c r="Q62" s="147">
        <f t="shared" ca="1" si="70"/>
        <v>158948.41889371135</v>
      </c>
      <c r="R62" s="147">
        <f t="shared" ca="1" si="70"/>
        <v>164246.69952350174</v>
      </c>
    </row>
    <row r="63" spans="2:18"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</row>
    <row r="64" spans="2:18">
      <c r="B64" s="128" t="s">
        <v>419</v>
      </c>
      <c r="C64" s="128"/>
      <c r="D64" s="85">
        <f>Assumptions!$X$83</f>
        <v>0.97</v>
      </c>
      <c r="E64" s="85">
        <f>Assumptions!$X$83</f>
        <v>0.97</v>
      </c>
      <c r="F64" s="85">
        <f>Assumptions!$X$83</f>
        <v>0.97</v>
      </c>
      <c r="G64" s="85">
        <f>Assumptions!$X$83</f>
        <v>0.97</v>
      </c>
      <c r="H64" s="85">
        <f>Assumptions!$X$83</f>
        <v>0.97</v>
      </c>
      <c r="I64" s="85">
        <f>Assumptions!$X$83</f>
        <v>0.97</v>
      </c>
      <c r="J64" s="85">
        <f>Assumptions!$X$83</f>
        <v>0.97</v>
      </c>
      <c r="K64" s="85">
        <f>Assumptions!$X$83</f>
        <v>0.97</v>
      </c>
      <c r="L64" s="85">
        <f>Assumptions!$X$83</f>
        <v>0.97</v>
      </c>
      <c r="M64" s="85">
        <f>Assumptions!$X$83</f>
        <v>0.97</v>
      </c>
      <c r="N64" s="85">
        <f>Assumptions!$X$83</f>
        <v>0.97</v>
      </c>
      <c r="O64" s="85">
        <f>Assumptions!$X$83</f>
        <v>0.97</v>
      </c>
      <c r="P64" s="85">
        <f>Assumptions!$X$83</f>
        <v>0.97</v>
      </c>
      <c r="Q64" s="85">
        <f>Assumptions!$X$83</f>
        <v>0.97</v>
      </c>
      <c r="R64" s="85">
        <f>Assumptions!$X$83</f>
        <v>0.97</v>
      </c>
    </row>
    <row r="65" spans="2:18" ht="17.100000000000001" thickBot="1">
      <c r="B65" s="123"/>
      <c r="C65" s="123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</row>
    <row r="66" spans="2:18" ht="17.100000000000001" thickBot="1">
      <c r="B66" s="287" t="s">
        <v>420</v>
      </c>
      <c r="C66" s="288"/>
      <c r="D66" s="289">
        <f ca="1">D64*D60</f>
        <v>0</v>
      </c>
      <c r="E66" s="289">
        <f t="shared" ref="E66:N66" ca="1" si="71">E64*E60</f>
        <v>0</v>
      </c>
      <c r="F66" s="289">
        <f t="shared" ca="1" si="71"/>
        <v>0</v>
      </c>
      <c r="G66" s="289">
        <f t="shared" ca="1" si="71"/>
        <v>0</v>
      </c>
      <c r="H66" s="289">
        <f t="shared" ca="1" si="71"/>
        <v>3825980.3900507661</v>
      </c>
      <c r="I66" s="289">
        <f t="shared" ca="1" si="71"/>
        <v>3953513.0697191255</v>
      </c>
      <c r="J66" s="289">
        <f t="shared" ca="1" si="71"/>
        <v>4085296.8387097628</v>
      </c>
      <c r="K66" s="289">
        <f t="shared" ca="1" si="71"/>
        <v>4221473.4000000888</v>
      </c>
      <c r="L66" s="289">
        <f t="shared" ca="1" si="71"/>
        <v>4362189.1800000928</v>
      </c>
      <c r="M66" s="289">
        <f t="shared" ca="1" si="71"/>
        <v>4507595.4860000964</v>
      </c>
      <c r="N66" s="290">
        <f t="shared" ca="1" si="71"/>
        <v>4657848.6688667666</v>
      </c>
      <c r="O66" s="290">
        <f t="shared" ref="O66:R66" ca="1" si="72">O64*O60</f>
        <v>4813110.291162326</v>
      </c>
      <c r="P66" s="290">
        <f t="shared" ca="1" si="72"/>
        <v>4973547.3008677373</v>
      </c>
      <c r="Q66" s="290">
        <f t="shared" ca="1" si="72"/>
        <v>5139332.2108966624</v>
      </c>
      <c r="R66" s="290">
        <f t="shared" ca="1" si="72"/>
        <v>5310643.284593218</v>
      </c>
    </row>
    <row r="67" spans="2:18">
      <c r="B67" s="127" t="s">
        <v>421</v>
      </c>
      <c r="C67" s="127"/>
      <c r="D67" s="147">
        <f ca="1">D66/Assumptions!$X$91</f>
        <v>0</v>
      </c>
      <c r="E67" s="147">
        <f ca="1">E66/Assumptions!$X$91</f>
        <v>0</v>
      </c>
      <c r="F67" s="147">
        <f ca="1">F66/Assumptions!$X$91</f>
        <v>0</v>
      </c>
      <c r="G67" s="147">
        <f ca="1">G66/Assumptions!$X$91</f>
        <v>0</v>
      </c>
      <c r="H67" s="147">
        <f ca="1">H66/Assumptions!$X$91</f>
        <v>76519607.801015317</v>
      </c>
      <c r="I67" s="147">
        <f ca="1">I66/Assumptions!$X$91</f>
        <v>79070261.394382507</v>
      </c>
      <c r="J67" s="147">
        <f ca="1">J66/Assumptions!$X$91</f>
        <v>81705936.774195254</v>
      </c>
      <c r="K67" s="147">
        <f ca="1">K66/Assumptions!$X$91</f>
        <v>84429468.000001773</v>
      </c>
      <c r="L67" s="147">
        <f ca="1">L66/Assumptions!$X$91</f>
        <v>87243783.600001857</v>
      </c>
      <c r="M67" s="147">
        <f ca="1">M66/Assumptions!$X$91</f>
        <v>90151909.720001921</v>
      </c>
      <c r="N67" s="147">
        <f ca="1">N66/Assumptions!$X$91</f>
        <v>93156973.377335325</v>
      </c>
      <c r="O67" s="147">
        <f ca="1">O66/Assumptions!$X$91</f>
        <v>96262205.823246509</v>
      </c>
      <c r="P67" s="147">
        <f ca="1">P66/Assumptions!$X$91</f>
        <v>99470946.017354742</v>
      </c>
      <c r="Q67" s="147">
        <f ca="1">Q66/Assumptions!$X$91</f>
        <v>102786644.21793324</v>
      </c>
      <c r="R67" s="147">
        <f ca="1">R66/Assumptions!$X$91</f>
        <v>106212865.69186436</v>
      </c>
    </row>
    <row r="69" spans="2:18">
      <c r="B69" s="282"/>
      <c r="C69" s="282"/>
      <c r="D69" s="279">
        <f>D48</f>
        <v>2026</v>
      </c>
      <c r="E69" s="279">
        <f t="shared" ref="E69:N70" si="73">E48</f>
        <v>2027</v>
      </c>
      <c r="F69" s="279">
        <f t="shared" si="73"/>
        <v>2028</v>
      </c>
      <c r="G69" s="279">
        <f t="shared" si="73"/>
        <v>2029</v>
      </c>
      <c r="H69" s="279">
        <f t="shared" si="73"/>
        <v>2030</v>
      </c>
      <c r="I69" s="279">
        <f t="shared" si="73"/>
        <v>2031</v>
      </c>
      <c r="J69" s="279">
        <f t="shared" si="73"/>
        <v>2032</v>
      </c>
      <c r="K69" s="279">
        <f t="shared" si="73"/>
        <v>2033</v>
      </c>
      <c r="L69" s="279">
        <f t="shared" si="73"/>
        <v>2034</v>
      </c>
      <c r="M69" s="279">
        <f t="shared" si="73"/>
        <v>2035</v>
      </c>
      <c r="N69" s="279">
        <f t="shared" si="73"/>
        <v>2036</v>
      </c>
      <c r="O69" s="279">
        <f t="shared" ref="O69:R69" si="74">O48</f>
        <v>2037</v>
      </c>
      <c r="P69" s="279">
        <f t="shared" si="74"/>
        <v>2038</v>
      </c>
      <c r="Q69" s="279">
        <f t="shared" si="74"/>
        <v>2039</v>
      </c>
      <c r="R69" s="279">
        <f t="shared" si="74"/>
        <v>2040</v>
      </c>
    </row>
    <row r="70" spans="2:18" ht="18">
      <c r="B70" s="302" t="s">
        <v>18</v>
      </c>
      <c r="C70" s="283"/>
      <c r="D70" s="281">
        <f>D49</f>
        <v>46387</v>
      </c>
      <c r="E70" s="281">
        <f t="shared" si="73"/>
        <v>46752</v>
      </c>
      <c r="F70" s="281">
        <f t="shared" si="73"/>
        <v>47118</v>
      </c>
      <c r="G70" s="281">
        <f t="shared" si="73"/>
        <v>47483</v>
      </c>
      <c r="H70" s="281">
        <f t="shared" si="73"/>
        <v>47848</v>
      </c>
      <c r="I70" s="281">
        <f t="shared" si="73"/>
        <v>48213</v>
      </c>
      <c r="J70" s="281">
        <f t="shared" si="73"/>
        <v>48579</v>
      </c>
      <c r="K70" s="281">
        <f t="shared" si="73"/>
        <v>48944</v>
      </c>
      <c r="L70" s="281">
        <f t="shared" si="73"/>
        <v>49309</v>
      </c>
      <c r="M70" s="281">
        <f t="shared" si="73"/>
        <v>49674</v>
      </c>
      <c r="N70" s="281">
        <f t="shared" si="73"/>
        <v>50040</v>
      </c>
      <c r="O70" s="281">
        <f t="shared" ref="O70:R70" si="75">O49</f>
        <v>50405</v>
      </c>
      <c r="P70" s="281">
        <f t="shared" si="75"/>
        <v>50770</v>
      </c>
      <c r="Q70" s="281">
        <f t="shared" si="75"/>
        <v>51135</v>
      </c>
      <c r="R70" s="281">
        <f t="shared" si="75"/>
        <v>51501</v>
      </c>
    </row>
    <row r="71" spans="2:18">
      <c r="B71" s="134"/>
      <c r="C71" s="134"/>
    </row>
    <row r="72" spans="2:18">
      <c r="B72" s="123" t="s">
        <v>408</v>
      </c>
      <c r="C72" s="123"/>
      <c r="D72" s="91">
        <f>+IF(AND(D70&gt;=Assumptions!$O$96,D70&lt;Assumptions!$O$98),Assumptions!$I$97/ROUNDUP((Assumptions!$O$97/12),0),0)</f>
        <v>0</v>
      </c>
      <c r="E72" s="91">
        <f>+IF(AND(E70&gt;=Assumptions!$O$96,E70&lt;Assumptions!$O$98),Assumptions!$I$97/ROUNDUP((Assumptions!$O$97/12),0),0)</f>
        <v>0</v>
      </c>
      <c r="F72" s="91">
        <f>+IF(AND(F70&gt;=Assumptions!$O$96,F70&lt;Assumptions!$O$98),Assumptions!$I$97/ROUNDUP((Assumptions!$O$97/12),0),0)</f>
        <v>0</v>
      </c>
      <c r="G72" s="91">
        <f>+IF(AND(G70&gt;=Assumptions!$O$96,G70&lt;Assumptions!$O$98),Assumptions!$I$97/ROUNDUP((Assumptions!$O$97/12),0),0)</f>
        <v>0</v>
      </c>
      <c r="H72" s="91">
        <f>+IF(AND(H70&gt;=Assumptions!$O$96,H70&lt;Assumptions!$O$98),Assumptions!$I$97/ROUNDUP((Assumptions!$O$97/12),0),0)</f>
        <v>40000</v>
      </c>
      <c r="I72" s="91">
        <f>+IF(AND(I70&gt;=Assumptions!$O$96,I70&lt;Assumptions!$O$98),Assumptions!$I$97/ROUNDUP((Assumptions!$O$97/12),0),0)</f>
        <v>0</v>
      </c>
      <c r="J72" s="91">
        <f>+IF(AND(J70&gt;=Assumptions!$O$96,J70&lt;Assumptions!$O$98),Assumptions!$I$97/ROUNDUP((Assumptions!$O$97/12),0),0)</f>
        <v>0</v>
      </c>
      <c r="K72" s="91">
        <f>+IF(AND(K70&gt;=Assumptions!$O$96,K70&lt;Assumptions!$O$98),Assumptions!$I$97/ROUNDUP((Assumptions!$O$97/12),0),0)</f>
        <v>0</v>
      </c>
      <c r="L72" s="91">
        <f>+IF(AND(L70&gt;=Assumptions!$O$96,L70&lt;Assumptions!$O$98),Assumptions!$I$97/ROUNDUP((Assumptions!$O$97/12),0),0)</f>
        <v>0</v>
      </c>
      <c r="M72" s="91">
        <f>+IF(AND(M70&gt;=Assumptions!$O$96,M70&lt;Assumptions!$O$98),Assumptions!$I$97/ROUNDUP((Assumptions!$O$97/12),0),0)</f>
        <v>0</v>
      </c>
      <c r="N72" s="91">
        <f>+IF(AND(N70&gt;=Assumptions!$O$96,N70&lt;Assumptions!$O$98),Assumptions!$I$97/ROUNDUP((Assumptions!$O$97/12),0),0)</f>
        <v>0</v>
      </c>
      <c r="O72" s="91">
        <f>+IF(AND(O70&gt;=Assumptions!$O$96,O70&lt;Assumptions!$O$98),Assumptions!$I$97/ROUNDUP((Assumptions!$O$97/12),0),0)</f>
        <v>0</v>
      </c>
      <c r="P72" s="91">
        <f>+IF(AND(P70&gt;=Assumptions!$O$96,P70&lt;Assumptions!$O$98),Assumptions!$I$97/ROUNDUP((Assumptions!$O$97/12),0),0)</f>
        <v>0</v>
      </c>
      <c r="Q72" s="91">
        <f>+IF(AND(Q70&gt;=Assumptions!$O$96,Q70&lt;Assumptions!$O$98),Assumptions!$I$97/ROUNDUP((Assumptions!$O$97/12),0),0)</f>
        <v>0</v>
      </c>
      <c r="R72" s="91">
        <f>+IF(AND(R70&gt;=Assumptions!$O$96,R70&lt;Assumptions!$O$98),Assumptions!$I$97/ROUNDUP((Assumptions!$O$97/12),0),0)</f>
        <v>0</v>
      </c>
    </row>
    <row r="73" spans="2:18">
      <c r="B73" s="123" t="s">
        <v>409</v>
      </c>
      <c r="C73" s="123"/>
      <c r="D73" s="91">
        <v>0</v>
      </c>
      <c r="E73" s="91">
        <f>D73+E72</f>
        <v>0</v>
      </c>
      <c r="F73" s="91">
        <f t="shared" ref="F73:N73" si="76">E73+F72</f>
        <v>0</v>
      </c>
      <c r="G73" s="91">
        <f t="shared" si="76"/>
        <v>0</v>
      </c>
      <c r="H73" s="91">
        <f t="shared" si="76"/>
        <v>40000</v>
      </c>
      <c r="I73" s="91">
        <f t="shared" si="76"/>
        <v>40000</v>
      </c>
      <c r="J73" s="91">
        <f t="shared" si="76"/>
        <v>40000</v>
      </c>
      <c r="K73" s="91">
        <f t="shared" si="76"/>
        <v>40000</v>
      </c>
      <c r="L73" s="91">
        <f t="shared" si="76"/>
        <v>40000</v>
      </c>
      <c r="M73" s="91">
        <f t="shared" si="76"/>
        <v>40000</v>
      </c>
      <c r="N73" s="91">
        <f t="shared" si="76"/>
        <v>40000</v>
      </c>
      <c r="O73" s="91">
        <f t="shared" ref="O73" si="77">N73+O72</f>
        <v>40000</v>
      </c>
      <c r="P73" s="91">
        <f t="shared" ref="P73" si="78">O73+P72</f>
        <v>40000</v>
      </c>
      <c r="Q73" s="91">
        <f t="shared" ref="Q73" si="79">P73+Q72</f>
        <v>40000</v>
      </c>
      <c r="R73" s="91">
        <f t="shared" ref="R73" si="80">Q73+R72</f>
        <v>40000</v>
      </c>
    </row>
    <row r="74" spans="2:18">
      <c r="B74" s="123" t="s">
        <v>412</v>
      </c>
      <c r="C74" s="123"/>
      <c r="D74" s="85">
        <f>D73/SUM($D$72:$N$72)</f>
        <v>0</v>
      </c>
      <c r="E74" s="85">
        <f>E73/SUM($D$72:$N$72)</f>
        <v>0</v>
      </c>
      <c r="F74" s="85">
        <f t="shared" ref="F74:N74" si="81">F73/SUM($D$72:$N$72)</f>
        <v>0</v>
      </c>
      <c r="G74" s="85">
        <f t="shared" si="81"/>
        <v>0</v>
      </c>
      <c r="H74" s="85">
        <f t="shared" si="81"/>
        <v>1</v>
      </c>
      <c r="I74" s="85">
        <f t="shared" si="81"/>
        <v>1</v>
      </c>
      <c r="J74" s="85">
        <f t="shared" si="81"/>
        <v>1</v>
      </c>
      <c r="K74" s="85">
        <f t="shared" si="81"/>
        <v>1</v>
      </c>
      <c r="L74" s="85">
        <f t="shared" si="81"/>
        <v>1</v>
      </c>
      <c r="M74" s="85">
        <f t="shared" si="81"/>
        <v>1</v>
      </c>
      <c r="N74" s="85">
        <f t="shared" si="81"/>
        <v>1</v>
      </c>
      <c r="O74" s="85">
        <f t="shared" ref="O74" si="82">O73/SUM($D$72:$N$72)</f>
        <v>1</v>
      </c>
      <c r="P74" s="85">
        <f t="shared" ref="P74" si="83">P73/SUM($D$72:$N$72)</f>
        <v>1</v>
      </c>
      <c r="Q74" s="85">
        <f t="shared" ref="Q74" si="84">Q73/SUM($D$72:$N$72)</f>
        <v>1</v>
      </c>
      <c r="R74" s="85">
        <f t="shared" ref="R74" si="85">R73/SUM($D$72:$N$72)</f>
        <v>1</v>
      </c>
    </row>
    <row r="75" spans="2:18">
      <c r="B75" s="123"/>
      <c r="C75" s="123"/>
    </row>
    <row r="76" spans="2:18">
      <c r="B76" s="123" t="s">
        <v>413</v>
      </c>
      <c r="C76" s="123"/>
      <c r="D76" s="51">
        <v>1</v>
      </c>
      <c r="E76" s="85">
        <f>D76*(1+Assumptions!$V$60/Assumptions!$V$61)</f>
        <v>1.0333333333333334</v>
      </c>
      <c r="F76" s="85">
        <f>E76*(1+Assumptions!$V$60/Assumptions!$V$61)</f>
        <v>1.0677777777777779</v>
      </c>
      <c r="G76" s="85">
        <f>F76*(1+Assumptions!$V$60/Assumptions!$V$61)</f>
        <v>1.1033703703703706</v>
      </c>
      <c r="H76" s="85">
        <f>G76*(1+Assumptions!$V$60/Assumptions!$V$61)</f>
        <v>1.1401493827160496</v>
      </c>
      <c r="I76" s="85">
        <f>H76*(1+Assumptions!$V$60/Assumptions!$V$61)</f>
        <v>1.178154362139918</v>
      </c>
      <c r="J76" s="85">
        <f>I76*(1+Assumptions!$V$60/Assumptions!$V$61)</f>
        <v>1.2174261742112487</v>
      </c>
      <c r="K76" s="85">
        <f>J76*(1+Assumptions!$V$60/Assumptions!$V$61)</f>
        <v>1.2580070466849571</v>
      </c>
      <c r="L76" s="85">
        <f>K76*(1+Assumptions!$V$60/Assumptions!$V$61)</f>
        <v>1.2999406149077892</v>
      </c>
      <c r="M76" s="85">
        <f>L76*(1+Assumptions!$V$60/Assumptions!$V$61)</f>
        <v>1.343271968738049</v>
      </c>
      <c r="N76" s="85">
        <f>M76*(1+Assumptions!$V$60/Assumptions!$V$61)</f>
        <v>1.3880477010293175</v>
      </c>
      <c r="O76" s="85">
        <f>N76*(1+Assumptions!$V$60/Assumptions!$V$61)</f>
        <v>1.4343159577302949</v>
      </c>
      <c r="P76" s="85">
        <f>O76*(1+Assumptions!$V$60/Assumptions!$V$61)</f>
        <v>1.4821264896546382</v>
      </c>
      <c r="Q76" s="85">
        <f>P76*(1+Assumptions!$V$60/Assumptions!$V$61)</f>
        <v>1.5315307059764596</v>
      </c>
      <c r="R76" s="85">
        <f>Q76*(1+Assumptions!$V$60/Assumptions!$V$61)</f>
        <v>1.5825817295090083</v>
      </c>
    </row>
    <row r="77" spans="2:18">
      <c r="B77" s="123" t="s">
        <v>414</v>
      </c>
      <c r="C77" s="123"/>
      <c r="D77" s="51">
        <v>1</v>
      </c>
      <c r="E77" s="51">
        <f>D77*(1+Assumptions!$V$70)</f>
        <v>1.03</v>
      </c>
      <c r="F77" s="51">
        <f>E77*(1+Assumptions!$V$70)</f>
        <v>1.0609</v>
      </c>
      <c r="G77" s="51">
        <f>F77*(1+Assumptions!$V$70)</f>
        <v>1.092727</v>
      </c>
      <c r="H77" s="51">
        <f>G77*(1+Assumptions!$V$70)</f>
        <v>1.1255088100000001</v>
      </c>
      <c r="I77" s="51">
        <f>H77*(1+Assumptions!$V$70)</f>
        <v>1.1592740743000001</v>
      </c>
      <c r="J77" s="51">
        <f>I77*(1+Assumptions!$V$70)</f>
        <v>1.1940522965290001</v>
      </c>
      <c r="K77" s="51">
        <f>J77*(1+Assumptions!$V$70)</f>
        <v>1.2298738654248702</v>
      </c>
      <c r="L77" s="51">
        <f>K77*(1+Assumptions!$V$70)</f>
        <v>1.2667700813876164</v>
      </c>
      <c r="M77" s="51">
        <f>L77*(1+Assumptions!$V$70)</f>
        <v>1.3047731838292449</v>
      </c>
      <c r="N77" s="51">
        <f>M77*(1+Assumptions!$V$70)</f>
        <v>1.3439163793441222</v>
      </c>
      <c r="O77" s="51">
        <f>N77*(1+Assumptions!$V$70)</f>
        <v>1.3842338707244459</v>
      </c>
      <c r="P77" s="51">
        <f>O77*(1+Assumptions!$V$70)</f>
        <v>1.4257608868461793</v>
      </c>
      <c r="Q77" s="51">
        <f>P77*(1+Assumptions!$V$70)</f>
        <v>1.4685337134515648</v>
      </c>
      <c r="R77" s="51">
        <f>Q77*(1+Assumptions!$V$70)</f>
        <v>1.5125897248551119</v>
      </c>
    </row>
    <row r="78" spans="2:18">
      <c r="B78" s="123"/>
      <c r="C78" s="123"/>
    </row>
    <row r="79" spans="2:18">
      <c r="B79" s="123" t="s">
        <v>415</v>
      </c>
      <c r="C79" s="123"/>
      <c r="D79" s="148">
        <f>D76*D74*Assumptions!$I$96</f>
        <v>0</v>
      </c>
      <c r="E79" s="148">
        <f>E76*E74*Assumptions!$I$96</f>
        <v>0</v>
      </c>
      <c r="F79" s="148">
        <f>F76*F74*Assumptions!$I$96</f>
        <v>0</v>
      </c>
      <c r="G79" s="148">
        <f>G76*G74*Assumptions!$I$96</f>
        <v>0</v>
      </c>
      <c r="H79" s="148">
        <f>H76*H74*Assumptions!$I$96</f>
        <v>1039952.4919262313</v>
      </c>
      <c r="I79" s="148">
        <f>I76*I74*Assumptions!$I$96</f>
        <v>1074617.574990439</v>
      </c>
      <c r="J79" s="148">
        <f>J76*J74*Assumptions!$I$96</f>
        <v>1110438.1608234537</v>
      </c>
      <c r="K79" s="148">
        <f>K76*K74*Assumptions!$I$96</f>
        <v>1147452.7661842357</v>
      </c>
      <c r="L79" s="148">
        <f>L76*L74*Assumptions!$I$96</f>
        <v>1185701.1917237104</v>
      </c>
      <c r="M79" s="148">
        <f>M76*M74*Assumptions!$I$96</f>
        <v>1225224.5647811675</v>
      </c>
      <c r="N79" s="148">
        <f>N76*N74*Assumptions!$I$96</f>
        <v>1266065.3836072066</v>
      </c>
      <c r="O79" s="148">
        <f>O76*O74*Assumptions!$I$96</f>
        <v>1308267.5630607803</v>
      </c>
      <c r="P79" s="148">
        <f>P76*P74*Assumptions!$I$96</f>
        <v>1351876.4818294731</v>
      </c>
      <c r="Q79" s="148">
        <f>Q76*Q74*Assumptions!$I$96</f>
        <v>1396939.0312237891</v>
      </c>
      <c r="R79" s="148">
        <f>R76*R74*Assumptions!$I$96</f>
        <v>1443503.6655979154</v>
      </c>
    </row>
    <row r="80" spans="2:18">
      <c r="B80" s="123" t="s">
        <v>416</v>
      </c>
      <c r="C80" s="123"/>
      <c r="D80" s="148">
        <f>-D79*Assumptions!$X$52</f>
        <v>0</v>
      </c>
      <c r="E80" s="148">
        <f>-E79*Assumptions!$X$52</f>
        <v>0</v>
      </c>
      <c r="F80" s="148">
        <f>-F79*Assumptions!$X$52</f>
        <v>0</v>
      </c>
      <c r="G80" s="148">
        <f>-G79*Assumptions!$X$52</f>
        <v>0</v>
      </c>
      <c r="H80" s="148">
        <f>-H79*Assumptions!$X$52</f>
        <v>-81116.294370246047</v>
      </c>
      <c r="I80" s="148">
        <f>-I79*Assumptions!$X$52</f>
        <v>-83820.170849254238</v>
      </c>
      <c r="J80" s="148">
        <f>-J79*Assumptions!$X$52</f>
        <v>-86614.176544229384</v>
      </c>
      <c r="K80" s="148">
        <f>-K79*Assumptions!$X$52</f>
        <v>-89501.315762370388</v>
      </c>
      <c r="L80" s="148">
        <f>-L79*Assumptions!$X$52</f>
        <v>-92484.692954449405</v>
      </c>
      <c r="M80" s="148">
        <f>-M79*Assumptions!$X$52</f>
        <v>-95567.516052931067</v>
      </c>
      <c r="N80" s="148">
        <f>-N79*Assumptions!$X$52</f>
        <v>-98753.099921362111</v>
      </c>
      <c r="O80" s="148">
        <f>-O79*Assumptions!$X$52</f>
        <v>-102044.86991874086</v>
      </c>
      <c r="P80" s="148">
        <f>-P79*Assumptions!$X$52</f>
        <v>-105446.3655826989</v>
      </c>
      <c r="Q80" s="148">
        <f>-Q79*Assumptions!$X$52</f>
        <v>-108961.24443545555</v>
      </c>
      <c r="R80" s="148">
        <f>-R79*Assumptions!$X$52</f>
        <v>-112593.2859166374</v>
      </c>
    </row>
    <row r="81" spans="2:18">
      <c r="B81" s="128" t="s">
        <v>417</v>
      </c>
      <c r="C81" s="128"/>
      <c r="D81" s="148">
        <f>D80+D79</f>
        <v>0</v>
      </c>
      <c r="E81" s="148">
        <f>E80+E79</f>
        <v>0</v>
      </c>
      <c r="F81" s="148">
        <f t="shared" ref="F81:N81" si="86">F80+F79</f>
        <v>0</v>
      </c>
      <c r="G81" s="148">
        <f t="shared" si="86"/>
        <v>0</v>
      </c>
      <c r="H81" s="148">
        <f t="shared" si="86"/>
        <v>958836.1975559853</v>
      </c>
      <c r="I81" s="148">
        <f t="shared" si="86"/>
        <v>990797.40414118476</v>
      </c>
      <c r="J81" s="148">
        <f t="shared" si="86"/>
        <v>1023823.9842792243</v>
      </c>
      <c r="K81" s="148">
        <f t="shared" si="86"/>
        <v>1057951.4504218653</v>
      </c>
      <c r="L81" s="148">
        <f t="shared" si="86"/>
        <v>1093216.4987692609</v>
      </c>
      <c r="M81" s="148">
        <f t="shared" si="86"/>
        <v>1129657.0487282365</v>
      </c>
      <c r="N81" s="148">
        <f t="shared" si="86"/>
        <v>1167312.2836858446</v>
      </c>
      <c r="O81" s="148">
        <f t="shared" ref="O81" si="87">O80+O79</f>
        <v>1206222.6931420395</v>
      </c>
      <c r="P81" s="148">
        <f t="shared" ref="P81" si="88">P80+P79</f>
        <v>1246430.1162467741</v>
      </c>
      <c r="Q81" s="148">
        <f t="shared" ref="Q81" si="89">Q80+Q79</f>
        <v>1287977.7867883334</v>
      </c>
      <c r="R81" s="148">
        <f t="shared" ref="R81" si="90">R80+R79</f>
        <v>1330910.379681278</v>
      </c>
    </row>
    <row r="82" spans="2:18">
      <c r="B82" s="128"/>
      <c r="C82" s="12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</row>
    <row r="83" spans="2:18">
      <c r="B83" s="128" t="s">
        <v>418</v>
      </c>
      <c r="C83" s="128"/>
      <c r="D83" s="148">
        <f>D81*(1-D85)</f>
        <v>0</v>
      </c>
      <c r="E83" s="148">
        <f t="shared" ref="E83:N83" si="91">E81*(1-E85)</f>
        <v>0</v>
      </c>
      <c r="F83" s="148">
        <f t="shared" si="91"/>
        <v>0</v>
      </c>
      <c r="G83" s="148">
        <f t="shared" si="91"/>
        <v>0</v>
      </c>
      <c r="H83" s="148">
        <f t="shared" si="91"/>
        <v>239709.04938899633</v>
      </c>
      <c r="I83" s="148">
        <f t="shared" si="91"/>
        <v>247699.35103529619</v>
      </c>
      <c r="J83" s="148">
        <f t="shared" si="91"/>
        <v>255955.99606980607</v>
      </c>
      <c r="K83" s="148">
        <f t="shared" si="91"/>
        <v>264487.86260546633</v>
      </c>
      <c r="L83" s="148">
        <f t="shared" si="91"/>
        <v>273304.12469231524</v>
      </c>
      <c r="M83" s="148">
        <f t="shared" si="91"/>
        <v>282414.26218205912</v>
      </c>
      <c r="N83" s="148">
        <f t="shared" si="91"/>
        <v>291828.07092146116</v>
      </c>
      <c r="O83" s="148">
        <f t="shared" ref="O83:R83" si="92">O81*(1-O85)</f>
        <v>301555.67328550987</v>
      </c>
      <c r="P83" s="148">
        <f t="shared" si="92"/>
        <v>311607.52906169352</v>
      </c>
      <c r="Q83" s="148">
        <f t="shared" si="92"/>
        <v>321994.44669708336</v>
      </c>
      <c r="R83" s="148">
        <f t="shared" si="92"/>
        <v>332727.59492031951</v>
      </c>
    </row>
    <row r="84" spans="2:18"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</row>
    <row r="85" spans="2:18">
      <c r="B85" s="128" t="s">
        <v>419</v>
      </c>
      <c r="C85" s="128"/>
      <c r="D85" s="51">
        <f>Assumptions!$X$82</f>
        <v>0.75</v>
      </c>
      <c r="E85" s="51">
        <f>Assumptions!$X$82</f>
        <v>0.75</v>
      </c>
      <c r="F85" s="51">
        <f>Assumptions!$X$82</f>
        <v>0.75</v>
      </c>
      <c r="G85" s="51">
        <f>Assumptions!$X$82</f>
        <v>0.75</v>
      </c>
      <c r="H85" s="51">
        <f>Assumptions!$X$82</f>
        <v>0.75</v>
      </c>
      <c r="I85" s="51">
        <f>Assumptions!$X$82</f>
        <v>0.75</v>
      </c>
      <c r="J85" s="51">
        <f>Assumptions!$X$82</f>
        <v>0.75</v>
      </c>
      <c r="K85" s="51">
        <f>Assumptions!$X$82</f>
        <v>0.75</v>
      </c>
      <c r="L85" s="51">
        <f>Assumptions!$X$82</f>
        <v>0.75</v>
      </c>
      <c r="M85" s="51">
        <f>Assumptions!$X$82</f>
        <v>0.75</v>
      </c>
      <c r="N85" s="51">
        <f>Assumptions!$X$82</f>
        <v>0.75</v>
      </c>
      <c r="O85" s="51">
        <f>Assumptions!$X$82</f>
        <v>0.75</v>
      </c>
      <c r="P85" s="51">
        <f>Assumptions!$X$82</f>
        <v>0.75</v>
      </c>
      <c r="Q85" s="51">
        <f>Assumptions!$X$82</f>
        <v>0.75</v>
      </c>
      <c r="R85" s="51">
        <f>Assumptions!$X$82</f>
        <v>0.75</v>
      </c>
    </row>
    <row r="86" spans="2:18">
      <c r="B86" s="123"/>
      <c r="C86" s="1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</row>
    <row r="87" spans="2:18">
      <c r="B87" s="125" t="s">
        <v>420</v>
      </c>
      <c r="C87" s="125"/>
      <c r="D87" s="147">
        <f>D85*D81</f>
        <v>0</v>
      </c>
      <c r="E87" s="147">
        <f>E85*E81</f>
        <v>0</v>
      </c>
      <c r="F87" s="147">
        <f t="shared" ref="F87:N87" si="93">F85*F81</f>
        <v>0</v>
      </c>
      <c r="G87" s="147">
        <f t="shared" si="93"/>
        <v>0</v>
      </c>
      <c r="H87" s="147">
        <f t="shared" si="93"/>
        <v>719127.14816698898</v>
      </c>
      <c r="I87" s="147">
        <f t="shared" si="93"/>
        <v>743098.05310588854</v>
      </c>
      <c r="J87" s="147">
        <f t="shared" si="93"/>
        <v>767867.98820941825</v>
      </c>
      <c r="K87" s="147">
        <f t="shared" si="93"/>
        <v>793463.58781639906</v>
      </c>
      <c r="L87" s="147">
        <f t="shared" si="93"/>
        <v>819912.37407694571</v>
      </c>
      <c r="M87" s="147">
        <f t="shared" si="93"/>
        <v>847242.78654617735</v>
      </c>
      <c r="N87" s="147">
        <f t="shared" si="93"/>
        <v>875484.21276438353</v>
      </c>
      <c r="O87" s="147">
        <f t="shared" ref="O87:R87" si="94">O85*O81</f>
        <v>904667.01985652954</v>
      </c>
      <c r="P87" s="147">
        <f t="shared" si="94"/>
        <v>934822.58718508063</v>
      </c>
      <c r="Q87" s="147">
        <f t="shared" si="94"/>
        <v>965983.34009125014</v>
      </c>
      <c r="R87" s="147">
        <f t="shared" si="94"/>
        <v>998182.78476095852</v>
      </c>
    </row>
    <row r="88" spans="2:18">
      <c r="B88" s="127" t="s">
        <v>421</v>
      </c>
      <c r="C88" s="127"/>
      <c r="D88" s="147">
        <f>D87/Assumptions!$X$92</f>
        <v>0</v>
      </c>
      <c r="E88" s="147">
        <f>E87/Assumptions!$X$92</f>
        <v>0</v>
      </c>
      <c r="F88" s="147">
        <f>F87/Assumptions!$X$92</f>
        <v>0</v>
      </c>
      <c r="G88" s="147">
        <f>G87/Assumptions!$X$92</f>
        <v>0</v>
      </c>
      <c r="H88" s="147">
        <f>H87/Assumptions!$X$92</f>
        <v>10273244.973814128</v>
      </c>
      <c r="I88" s="147">
        <f>I87/Assumptions!$X$92</f>
        <v>10615686.472941265</v>
      </c>
      <c r="J88" s="147">
        <f>J87/Assumptions!$X$92</f>
        <v>10969542.688705973</v>
      </c>
      <c r="K88" s="147">
        <f>K87/Assumptions!$X$92</f>
        <v>11335194.111662842</v>
      </c>
      <c r="L88" s="147">
        <f>L87/Assumptions!$X$92</f>
        <v>11713033.915384937</v>
      </c>
      <c r="M88" s="147">
        <f>M87/Assumptions!$X$92</f>
        <v>12103468.379231105</v>
      </c>
      <c r="N88" s="147">
        <f>N87/Assumptions!$X$92</f>
        <v>12506917.325205477</v>
      </c>
      <c r="O88" s="147">
        <f>O87/Assumptions!$X$92</f>
        <v>12923814.569378993</v>
      </c>
      <c r="P88" s="147">
        <f>P87/Assumptions!$X$92</f>
        <v>13354608.388358293</v>
      </c>
      <c r="Q88" s="147">
        <f>Q87/Assumptions!$X$92</f>
        <v>13799762.001303572</v>
      </c>
      <c r="R88" s="147">
        <f>R87/Assumptions!$X$92</f>
        <v>14259754.068013692</v>
      </c>
    </row>
    <row r="89" spans="2:18">
      <c r="B89" s="127"/>
      <c r="C89" s="12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</row>
    <row r="90" spans="2:18">
      <c r="B90" s="278"/>
      <c r="C90" s="278"/>
      <c r="D90" s="279">
        <f>D69</f>
        <v>2026</v>
      </c>
      <c r="E90" s="279">
        <f t="shared" ref="E90:R91" si="95">E69</f>
        <v>2027</v>
      </c>
      <c r="F90" s="279">
        <f t="shared" si="95"/>
        <v>2028</v>
      </c>
      <c r="G90" s="279">
        <f t="shared" si="95"/>
        <v>2029</v>
      </c>
      <c r="H90" s="279">
        <f t="shared" si="95"/>
        <v>2030</v>
      </c>
      <c r="I90" s="279">
        <f t="shared" si="95"/>
        <v>2031</v>
      </c>
      <c r="J90" s="279">
        <f t="shared" si="95"/>
        <v>2032</v>
      </c>
      <c r="K90" s="279">
        <f t="shared" si="95"/>
        <v>2033</v>
      </c>
      <c r="L90" s="279">
        <f t="shared" si="95"/>
        <v>2034</v>
      </c>
      <c r="M90" s="279">
        <f t="shared" si="95"/>
        <v>2035</v>
      </c>
      <c r="N90" s="279">
        <f t="shared" si="95"/>
        <v>2036</v>
      </c>
      <c r="O90" s="279">
        <f t="shared" si="95"/>
        <v>2037</v>
      </c>
      <c r="P90" s="279">
        <f t="shared" si="95"/>
        <v>2038</v>
      </c>
      <c r="Q90" s="279">
        <f t="shared" si="95"/>
        <v>2039</v>
      </c>
      <c r="R90" s="279">
        <f t="shared" si="95"/>
        <v>2040</v>
      </c>
    </row>
    <row r="91" spans="2:18" ht="18">
      <c r="B91" s="302" t="s">
        <v>10</v>
      </c>
      <c r="C91" s="302"/>
      <c r="D91" s="281">
        <f>D70</f>
        <v>46387</v>
      </c>
      <c r="E91" s="281">
        <f t="shared" si="95"/>
        <v>46752</v>
      </c>
      <c r="F91" s="281">
        <f t="shared" si="95"/>
        <v>47118</v>
      </c>
      <c r="G91" s="281">
        <f t="shared" si="95"/>
        <v>47483</v>
      </c>
      <c r="H91" s="281">
        <f t="shared" si="95"/>
        <v>47848</v>
      </c>
      <c r="I91" s="281">
        <f t="shared" si="95"/>
        <v>48213</v>
      </c>
      <c r="J91" s="281">
        <f t="shared" si="95"/>
        <v>48579</v>
      </c>
      <c r="K91" s="281">
        <f t="shared" si="95"/>
        <v>48944</v>
      </c>
      <c r="L91" s="281">
        <f t="shared" si="95"/>
        <v>49309</v>
      </c>
      <c r="M91" s="281">
        <f t="shared" si="95"/>
        <v>49674</v>
      </c>
      <c r="N91" s="281">
        <f t="shared" si="95"/>
        <v>50040</v>
      </c>
      <c r="O91" s="281">
        <f t="shared" si="95"/>
        <v>50405</v>
      </c>
      <c r="P91" s="281">
        <f t="shared" si="95"/>
        <v>50770</v>
      </c>
      <c r="Q91" s="281">
        <f t="shared" si="95"/>
        <v>51135</v>
      </c>
      <c r="R91" s="281">
        <f t="shared" si="95"/>
        <v>51501</v>
      </c>
    </row>
    <row r="92" spans="2:18">
      <c r="B92" s="134"/>
      <c r="C92" s="125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</row>
    <row r="93" spans="2:18">
      <c r="B93" s="123" t="s">
        <v>408</v>
      </c>
      <c r="C93" s="125"/>
      <c r="D93" s="91">
        <v>0</v>
      </c>
      <c r="E93" s="91">
        <f>+IF(AND(E70&gt;=Assumptions!$O$106,E70&lt;Assumptions!$O$108),Assumptions!$I$115/ROUNDUP((Assumptions!$O$107/12),0),0)</f>
        <v>0</v>
      </c>
      <c r="F93" s="91">
        <f>+IF(AND(F70&gt;=Assumptions!$O$106,F70&lt;Assumptions!$O$108),Assumptions!$I$115/ROUNDUP((Assumptions!$O$107/12),0),0)</f>
        <v>0</v>
      </c>
      <c r="G93" s="91">
        <f>+IF(AND(G70&gt;=Assumptions!$O$106,G70&lt;Assumptions!$O$108),Assumptions!$I$115/ROUNDUP((Assumptions!$O$107/12),0),0)</f>
        <v>0</v>
      </c>
      <c r="H93" s="91">
        <f>+IF(AND(H70&gt;=Assumptions!$O$106,H70&lt;Assumptions!$O$108),Assumptions!$I$115/ROUNDUP((Assumptions!$O$107/12),0),0)</f>
        <v>0</v>
      </c>
      <c r="I93" s="91">
        <f>+IF(AND(I70&gt;=Assumptions!$O$106,I70&lt;Assumptions!$O$108),Assumptions!$I$115/ROUNDUP((Assumptions!$O$107/12),0),0)</f>
        <v>0</v>
      </c>
      <c r="J93" s="91">
        <f>+IF(AND(J70&gt;=Assumptions!$O$106,J70&lt;Assumptions!$O$108),Assumptions!$I$115/ROUNDUP((Assumptions!$O$107/12),0),0)</f>
        <v>0</v>
      </c>
      <c r="K93" s="91">
        <f>+IF(AND(K70&gt;=Assumptions!$O$106,K70&lt;Assumptions!$O$108),Assumptions!$I$115/ROUNDUP((Assumptions!$O$107/12),0),0)</f>
        <v>0</v>
      </c>
      <c r="L93" s="91">
        <f>+IF(AND(L70&gt;=Assumptions!$O$106,L70&lt;Assumptions!$O$108),Assumptions!$I$115/ROUNDUP((Assumptions!$O$107/12),0),0)</f>
        <v>0</v>
      </c>
      <c r="M93" s="91">
        <f>+IF(AND(M70&gt;=Assumptions!$O$106,M70&lt;Assumptions!$O$108),Assumptions!$I$115/ROUNDUP((Assumptions!$O$107/12),0),0)</f>
        <v>0</v>
      </c>
      <c r="N93" s="91">
        <f>+IF(AND(N70&gt;=Assumptions!$O$106,N70&lt;Assumptions!$O$108),Assumptions!$I$115/ROUNDUP((Assumptions!$O$107/12),0),0)</f>
        <v>0</v>
      </c>
      <c r="O93" s="91">
        <f>+IF(AND(O70&gt;=Assumptions!$O$106,O70&lt;Assumptions!$O$108),Assumptions!$I$115/ROUNDUP((Assumptions!$O$107/12),0),0)</f>
        <v>0</v>
      </c>
      <c r="P93" s="91">
        <f>+IF(AND(P70&gt;=Assumptions!$O$106,P70&lt;Assumptions!$O$108),Assumptions!$I$115/ROUNDUP((Assumptions!$O$107/12),0),0)</f>
        <v>0</v>
      </c>
      <c r="Q93" s="91">
        <f>+IF(AND(Q70&gt;=Assumptions!$O$106,Q70&lt;Assumptions!$O$108),Assumptions!$I$115/ROUNDUP((Assumptions!$O$107/12),0),0)</f>
        <v>0</v>
      </c>
      <c r="R93" s="91">
        <f>+IF(AND(R70&gt;=Assumptions!$O$106,R70&lt;Assumptions!$O$108),Assumptions!$I$115/ROUNDUP((Assumptions!$O$107/12),0),0)</f>
        <v>0</v>
      </c>
    </row>
    <row r="94" spans="2:18">
      <c r="B94" s="123" t="s">
        <v>409</v>
      </c>
      <c r="C94" s="125"/>
      <c r="D94" s="91">
        <f>+IF(AND(D70&gt;Assumptions!$O$96,D70&lt;=Assumptions!$M$98),Assumptions!$I$97/ROUNDUP((Assumptions!$O$97/12),0),0)</f>
        <v>0</v>
      </c>
      <c r="E94" s="91">
        <f>+IF(AND(E70&gt;Assumptions!$O$96,E70&lt;=Assumptions!$M$98),Assumptions!$I$97/ROUNDUP((Assumptions!$O$97/12),0),0)</f>
        <v>0</v>
      </c>
      <c r="F94" s="91">
        <f>+IF(AND(F70&gt;Assumptions!$O$96,F70&lt;=Assumptions!$M$98),Assumptions!$I$97/ROUNDUP((Assumptions!$O$97/12),0),0)</f>
        <v>0</v>
      </c>
      <c r="G94" s="91">
        <f>+IF(AND(G70&gt;Assumptions!$O$96,G70&lt;=Assumptions!$M$98),Assumptions!$I$97/ROUNDUP((Assumptions!$O$97/12),0),0)</f>
        <v>0</v>
      </c>
      <c r="H94" s="91">
        <f>+IF(AND(H70&gt;Assumptions!$O$96,H70&lt;=Assumptions!$M$98),Assumptions!$I$97/ROUNDUP((Assumptions!$O$97/12),0),0)</f>
        <v>0</v>
      </c>
      <c r="I94" s="91">
        <f>+IF(AND(I70&gt;Assumptions!$O$96,I70&lt;=Assumptions!$M$98),Assumptions!$I$97/ROUNDUP((Assumptions!$O$97/12),0),0)</f>
        <v>0</v>
      </c>
      <c r="J94" s="91">
        <f>+IF(AND(J70&gt;Assumptions!$O$96,J70&lt;=Assumptions!$M$98),Assumptions!$I$97/ROUNDUP((Assumptions!$O$97/12),0),0)</f>
        <v>0</v>
      </c>
      <c r="K94" s="91">
        <f>+IF(AND(K70&gt;Assumptions!$O$96,K70&lt;=Assumptions!$M$98),Assumptions!$I$97/ROUNDUP((Assumptions!$O$97/12),0),0)</f>
        <v>0</v>
      </c>
      <c r="L94" s="91">
        <f>+IF(AND(L70&gt;Assumptions!$O$96,L70&lt;=Assumptions!$M$98),Assumptions!$I$97/ROUNDUP((Assumptions!$O$97/12),0),0)</f>
        <v>0</v>
      </c>
      <c r="M94" s="91">
        <f>+IF(AND(M70&gt;Assumptions!$O$96,M70&lt;=Assumptions!$M$98),Assumptions!$I$97/ROUNDUP((Assumptions!$O$97/12),0),0)</f>
        <v>0</v>
      </c>
      <c r="N94" s="91">
        <f>+IF(AND(N70&gt;Assumptions!$O$96,N70&lt;=Assumptions!$M$98),Assumptions!$I$97/ROUNDUP((Assumptions!$O$97/12),0),0)</f>
        <v>0</v>
      </c>
      <c r="O94" s="91">
        <f>+IF(AND(O70&gt;Assumptions!$O$96,O70&lt;=Assumptions!$M$98),Assumptions!$I$97/ROUNDUP((Assumptions!$O$97/12),0),0)</f>
        <v>0</v>
      </c>
      <c r="P94" s="91">
        <f>+IF(AND(P70&gt;Assumptions!$O$96,P70&lt;=Assumptions!$M$98),Assumptions!$I$97/ROUNDUP((Assumptions!$O$97/12),0),0)</f>
        <v>0</v>
      </c>
      <c r="Q94" s="91">
        <f>+IF(AND(Q70&gt;Assumptions!$O$96,Q70&lt;=Assumptions!$M$98),Assumptions!$I$97/ROUNDUP((Assumptions!$O$97/12),0),0)</f>
        <v>0</v>
      </c>
      <c r="R94" s="91">
        <f>+IF(AND(R70&gt;Assumptions!$O$96,R70&lt;=Assumptions!$M$98),Assumptions!$I$97/ROUNDUP((Assumptions!$O$97/12),0),0)</f>
        <v>0</v>
      </c>
    </row>
    <row r="95" spans="2:18">
      <c r="B95" s="123" t="s">
        <v>410</v>
      </c>
      <c r="C95" s="125"/>
      <c r="D95" s="91">
        <f>+IF(AND(D70&gt;=Assumptions!$N$106,D70&lt;Assumptions!$N$108),Assumptions!$H$116/ROUNDUP((Assumptions!$N$107/12),0),0)</f>
        <v>0</v>
      </c>
      <c r="E95" s="91">
        <f>+IF(AND(E70&gt;=Assumptions!$O$106,E70&lt;Assumptions!$O$108),Assumptions!$I$116/ROUNDUP((Assumptions!$O$107/12),0),0)</f>
        <v>0</v>
      </c>
      <c r="F95" s="91">
        <f>+IF(AND(F70&gt;=Assumptions!$O$106,F70&lt;Assumptions!$O$108),Assumptions!$I$116/ROUNDUP((Assumptions!$O$107/12),0),0)</f>
        <v>0</v>
      </c>
      <c r="G95" s="91">
        <f>+IF(AND(G70&gt;=Assumptions!$O$106,G70&lt;Assumptions!$O$108),Assumptions!$I$116/ROUNDUP((Assumptions!$O$107/12),0),0)</f>
        <v>0</v>
      </c>
      <c r="H95" s="91">
        <f>+IF(AND(H70&gt;=Assumptions!$O$106,H70&lt;Assumptions!$O$108),Assumptions!$I$116/ROUNDUP((Assumptions!$O$107/12),0),0)</f>
        <v>0</v>
      </c>
      <c r="I95" s="91">
        <f>+IF(AND(I70&gt;=Assumptions!$O$106,I70&lt;Assumptions!$O$108),Assumptions!$I$116/ROUNDUP((Assumptions!$O$107/12),0),0)</f>
        <v>0</v>
      </c>
      <c r="J95" s="91">
        <f>+IF(AND(J70&gt;=Assumptions!$O$106,J70&lt;Assumptions!$O$108),Assumptions!$I$116/ROUNDUP((Assumptions!$O$107/12),0),0)</f>
        <v>0</v>
      </c>
      <c r="K95" s="91">
        <f>+IF(AND(K70&gt;=Assumptions!$O$106,K70&lt;Assumptions!$O$108),Assumptions!$I$116/ROUNDUP((Assumptions!$O$107/12),0),0)</f>
        <v>0</v>
      </c>
      <c r="L95" s="91">
        <f>+IF(AND(L70&gt;=Assumptions!$O$106,L70&lt;Assumptions!$O$108),Assumptions!$I$116/ROUNDUP((Assumptions!$O$107/12),0),0)</f>
        <v>0</v>
      </c>
      <c r="M95" s="91">
        <f>+IF(AND(M70&gt;=Assumptions!$O$106,M70&lt;Assumptions!$O$108),Assumptions!$I$116/ROUNDUP((Assumptions!$O$107/12),0),0)</f>
        <v>0</v>
      </c>
      <c r="N95" s="91">
        <f>+IF(AND(N70&gt;=Assumptions!$O$106,N70&lt;Assumptions!$O$108),Assumptions!$I$116/ROUNDUP((Assumptions!$O$107/12),0),0)</f>
        <v>0</v>
      </c>
      <c r="O95" s="91">
        <f>+IF(AND(O70&gt;=Assumptions!$O$106,O70&lt;Assumptions!$O$108),Assumptions!$I$116/ROUNDUP((Assumptions!$O$107/12),0),0)</f>
        <v>0</v>
      </c>
      <c r="P95" s="91">
        <f>+IF(AND(P70&gt;=Assumptions!$O$106,P70&lt;Assumptions!$O$108),Assumptions!$I$116/ROUNDUP((Assumptions!$O$107/12),0),0)</f>
        <v>0</v>
      </c>
      <c r="Q95" s="91">
        <f>+IF(AND(Q70&gt;=Assumptions!$O$106,Q70&lt;Assumptions!$O$108),Assumptions!$I$116/ROUNDUP((Assumptions!$O$107/12),0),0)</f>
        <v>0</v>
      </c>
      <c r="R95" s="91">
        <f>+IF(AND(R70&gt;=Assumptions!$O$106,R70&lt;Assumptions!$O$108),Assumptions!$I$116/ROUNDUP((Assumptions!$O$107/12),0),0)</f>
        <v>0</v>
      </c>
    </row>
    <row r="96" spans="2:18">
      <c r="B96" s="123" t="s">
        <v>411</v>
      </c>
      <c r="C96" s="125"/>
      <c r="D96" s="91">
        <v>0</v>
      </c>
      <c r="E96" s="91">
        <f>E95+D96</f>
        <v>0</v>
      </c>
      <c r="F96" s="91">
        <f t="shared" ref="F96:R96" si="96">F95+E96</f>
        <v>0</v>
      </c>
      <c r="G96" s="91">
        <f t="shared" si="96"/>
        <v>0</v>
      </c>
      <c r="H96" s="91">
        <f t="shared" si="96"/>
        <v>0</v>
      </c>
      <c r="I96" s="91">
        <f t="shared" si="96"/>
        <v>0</v>
      </c>
      <c r="J96" s="91">
        <f t="shared" si="96"/>
        <v>0</v>
      </c>
      <c r="K96" s="91">
        <f t="shared" si="96"/>
        <v>0</v>
      </c>
      <c r="L96" s="91">
        <f t="shared" si="96"/>
        <v>0</v>
      </c>
      <c r="M96" s="91">
        <f t="shared" si="96"/>
        <v>0</v>
      </c>
      <c r="N96" s="91">
        <f t="shared" si="96"/>
        <v>0</v>
      </c>
      <c r="O96" s="91">
        <f t="shared" si="96"/>
        <v>0</v>
      </c>
      <c r="P96" s="91">
        <f t="shared" si="96"/>
        <v>0</v>
      </c>
      <c r="Q96" s="91">
        <f t="shared" si="96"/>
        <v>0</v>
      </c>
      <c r="R96" s="91">
        <f t="shared" si="96"/>
        <v>0</v>
      </c>
    </row>
    <row r="97" spans="2:18">
      <c r="B97" s="123" t="s">
        <v>412</v>
      </c>
      <c r="C97" s="125"/>
      <c r="D97" s="94">
        <v>0</v>
      </c>
      <c r="E97" s="94">
        <f>IFERROR(E96/SUM($D$95:$R$95),0)</f>
        <v>0</v>
      </c>
      <c r="F97" s="94">
        <f t="shared" ref="F97:R97" si="97">IFERROR(F96/SUM($D$95:$R$95),0)</f>
        <v>0</v>
      </c>
      <c r="G97" s="94">
        <f t="shared" si="97"/>
        <v>0</v>
      </c>
      <c r="H97" s="94">
        <f t="shared" si="97"/>
        <v>0</v>
      </c>
      <c r="I97" s="94">
        <f t="shared" si="97"/>
        <v>0</v>
      </c>
      <c r="J97" s="94">
        <f t="shared" si="97"/>
        <v>0</v>
      </c>
      <c r="K97" s="94">
        <f t="shared" si="97"/>
        <v>0</v>
      </c>
      <c r="L97" s="94">
        <f t="shared" si="97"/>
        <v>0</v>
      </c>
      <c r="M97" s="94">
        <f t="shared" si="97"/>
        <v>0</v>
      </c>
      <c r="N97" s="94">
        <f t="shared" si="97"/>
        <v>0</v>
      </c>
      <c r="O97" s="94">
        <f t="shared" si="97"/>
        <v>0</v>
      </c>
      <c r="P97" s="94">
        <f t="shared" si="97"/>
        <v>0</v>
      </c>
      <c r="Q97" s="94">
        <f t="shared" si="97"/>
        <v>0</v>
      </c>
      <c r="R97" s="94">
        <f t="shared" si="97"/>
        <v>0</v>
      </c>
    </row>
    <row r="98" spans="2:18">
      <c r="B98" s="123"/>
      <c r="C98" s="125"/>
      <c r="D98" s="91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</row>
    <row r="99" spans="2:18">
      <c r="B99" s="123" t="s">
        <v>413</v>
      </c>
      <c r="C99" s="125"/>
      <c r="D99" s="94">
        <v>1</v>
      </c>
      <c r="E99" s="94">
        <f>D76*(1+Assumptions!$W$65)</f>
        <v>1.03</v>
      </c>
      <c r="F99" s="94">
        <f>E76*(1+Assumptions!$W$65)</f>
        <v>1.0643333333333336</v>
      </c>
      <c r="G99" s="94">
        <f>F76*(1+Assumptions!$W$65)</f>
        <v>1.0998111111111113</v>
      </c>
      <c r="H99" s="94">
        <f>G76*(1+Assumptions!$W$65)</f>
        <v>1.1364714814814818</v>
      </c>
      <c r="I99" s="94">
        <f>H76*(1+Assumptions!$W$65)</f>
        <v>1.1743538641975311</v>
      </c>
      <c r="J99" s="94">
        <f>I76*(1+Assumptions!$W$65)</f>
        <v>1.2134989930041156</v>
      </c>
      <c r="K99" s="94">
        <f>J76*(1+Assumptions!$W$65)</f>
        <v>1.2539489594375861</v>
      </c>
      <c r="L99" s="94">
        <f>K76*(1+Assumptions!$W$65)</f>
        <v>1.2957472580855058</v>
      </c>
      <c r="M99" s="94">
        <f>L76*(1+Assumptions!$W$65)</f>
        <v>1.338938833355023</v>
      </c>
      <c r="N99" s="94">
        <f>M76*(1+Assumptions!$W$65)</f>
        <v>1.3835701278001904</v>
      </c>
      <c r="O99" s="94">
        <f>N76*(1+Assumptions!$W$65)</f>
        <v>1.429689132060197</v>
      </c>
      <c r="P99" s="94">
        <f>O76*(1+Assumptions!$W$65)</f>
        <v>1.4773454364622038</v>
      </c>
      <c r="Q99" s="94">
        <f>P76*(1+Assumptions!$W$65)</f>
        <v>1.5265902843442773</v>
      </c>
      <c r="R99" s="94">
        <f>Q76*(1+Assumptions!$W$65)</f>
        <v>1.5774766271557534</v>
      </c>
    </row>
    <row r="100" spans="2:18">
      <c r="B100" s="123" t="s">
        <v>414</v>
      </c>
      <c r="C100" s="125"/>
      <c r="D100" s="94">
        <v>1</v>
      </c>
      <c r="E100" s="94">
        <f>D100*(1+Assumptions!$W$73)</f>
        <v>1.03</v>
      </c>
      <c r="F100" s="94">
        <f>E100*(1+Assumptions!$W$73)</f>
        <v>1.0609</v>
      </c>
      <c r="G100" s="94">
        <f>F100*(1+Assumptions!$W$73)</f>
        <v>1.092727</v>
      </c>
      <c r="H100" s="94">
        <f>G100*(1+Assumptions!$W$73)</f>
        <v>1.1255088100000001</v>
      </c>
      <c r="I100" s="94">
        <f>H100*(1+Assumptions!$W$73)</f>
        <v>1.1592740743000001</v>
      </c>
      <c r="J100" s="94">
        <f>I100*(1+Assumptions!$W$73)</f>
        <v>1.1940522965290001</v>
      </c>
      <c r="K100" s="94">
        <f>J100*(1+Assumptions!$W$73)</f>
        <v>1.2298738654248702</v>
      </c>
      <c r="L100" s="94">
        <f>K100*(1+Assumptions!$W$73)</f>
        <v>1.2667700813876164</v>
      </c>
      <c r="M100" s="94">
        <f>L100*(1+Assumptions!$W$73)</f>
        <v>1.3047731838292449</v>
      </c>
      <c r="N100" s="94">
        <f>M100*(1+Assumptions!$W$73)</f>
        <v>1.3439163793441222</v>
      </c>
      <c r="O100" s="94">
        <f>N100*(1+Assumptions!$W$73)</f>
        <v>1.3842338707244459</v>
      </c>
      <c r="P100" s="94">
        <f>O100*(1+Assumptions!$W$73)</f>
        <v>1.4257608868461793</v>
      </c>
      <c r="Q100" s="94">
        <f>P100*(1+Assumptions!$W$73)</f>
        <v>1.4685337134515648</v>
      </c>
      <c r="R100" s="94">
        <f>Q100*(1+Assumptions!$W$73)</f>
        <v>1.5125897248551119</v>
      </c>
    </row>
    <row r="101" spans="2:18">
      <c r="B101" s="123"/>
      <c r="C101" s="125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</row>
    <row r="102" spans="2:18">
      <c r="B102" s="123" t="s">
        <v>415</v>
      </c>
      <c r="C102" s="125"/>
      <c r="D102" s="147">
        <f ca="1">D99*D97*Assumptions!$H$114</f>
        <v>0</v>
      </c>
      <c r="E102" s="147">
        <f ca="1">E99*E97*Assumptions!$H$114</f>
        <v>0</v>
      </c>
      <c r="F102" s="147">
        <f ca="1">F99*F97*Assumptions!$H$114</f>
        <v>0</v>
      </c>
      <c r="G102" s="147">
        <f ca="1">G99*G97*Assumptions!$H$114</f>
        <v>0</v>
      </c>
      <c r="H102" s="147">
        <f ca="1">H99*H97*Assumptions!$H$114</f>
        <v>0</v>
      </c>
      <c r="I102" s="147">
        <f ca="1">I99*I97*Assumptions!$H$114</f>
        <v>0</v>
      </c>
      <c r="J102" s="147">
        <f ca="1">J99*J97*Assumptions!$H$114</f>
        <v>0</v>
      </c>
      <c r="K102" s="147">
        <f ca="1">K99*K97*Assumptions!$H$114</f>
        <v>0</v>
      </c>
      <c r="L102" s="147">
        <f ca="1">L99*L97*Assumptions!$H$114</f>
        <v>0</v>
      </c>
      <c r="M102" s="147">
        <f ca="1">M99*M97*Assumptions!$H$114</f>
        <v>0</v>
      </c>
      <c r="N102" s="147">
        <f ca="1">N99*N97*Assumptions!$H$114</f>
        <v>0</v>
      </c>
      <c r="O102" s="147">
        <f ca="1">O99*O97*Assumptions!$H$114</f>
        <v>0</v>
      </c>
      <c r="P102" s="147">
        <f ca="1">P99*P97*Assumptions!$H$114</f>
        <v>0</v>
      </c>
      <c r="Q102" s="147">
        <f ca="1">Q99*Q97*Assumptions!$H$114</f>
        <v>0</v>
      </c>
      <c r="R102" s="147">
        <f ca="1">R99*R97*Assumptions!$H$114</f>
        <v>0</v>
      </c>
    </row>
    <row r="103" spans="2:18">
      <c r="B103" s="123" t="s">
        <v>416</v>
      </c>
      <c r="C103" s="125"/>
      <c r="D103" s="147">
        <f ca="1">-D102*Assumptions!$W$55</f>
        <v>0</v>
      </c>
      <c r="E103" s="147">
        <f ca="1">-E102*Assumptions!$W$55</f>
        <v>0</v>
      </c>
      <c r="F103" s="147">
        <f ca="1">-F102*Assumptions!$W$55</f>
        <v>0</v>
      </c>
      <c r="G103" s="147">
        <f ca="1">-G102*Assumptions!$W$55</f>
        <v>0</v>
      </c>
      <c r="H103" s="147">
        <f ca="1">-H102*Assumptions!$W$55</f>
        <v>0</v>
      </c>
      <c r="I103" s="147">
        <f ca="1">-I102*Assumptions!$W$55</f>
        <v>0</v>
      </c>
      <c r="J103" s="147">
        <f ca="1">-J102*Assumptions!$W$55</f>
        <v>0</v>
      </c>
      <c r="K103" s="147">
        <f ca="1">-K102*Assumptions!$W$55</f>
        <v>0</v>
      </c>
      <c r="L103" s="147">
        <f ca="1">-L102*Assumptions!$W$55</f>
        <v>0</v>
      </c>
      <c r="M103" s="147">
        <f ca="1">-M102*Assumptions!$W$55</f>
        <v>0</v>
      </c>
      <c r="N103" s="147">
        <f ca="1">-N102*Assumptions!$W$55</f>
        <v>0</v>
      </c>
      <c r="O103" s="147">
        <f ca="1">-O102*Assumptions!$W$55</f>
        <v>0</v>
      </c>
      <c r="P103" s="147">
        <f ca="1">-P102*Assumptions!$W$55</f>
        <v>0</v>
      </c>
      <c r="Q103" s="147">
        <f ca="1">-Q102*Assumptions!$W$55</f>
        <v>0</v>
      </c>
      <c r="R103" s="147">
        <f ca="1">-R102*Assumptions!$W$55</f>
        <v>0</v>
      </c>
    </row>
    <row r="104" spans="2:18">
      <c r="B104" s="128" t="s">
        <v>417</v>
      </c>
      <c r="C104" s="125"/>
      <c r="D104" s="147">
        <f ca="1">D103+D102</f>
        <v>0</v>
      </c>
      <c r="E104" s="147">
        <f t="shared" ref="E104:R104" ca="1" si="98">E103+E102</f>
        <v>0</v>
      </c>
      <c r="F104" s="147">
        <f t="shared" ca="1" si="98"/>
        <v>0</v>
      </c>
      <c r="G104" s="147">
        <f t="shared" ca="1" si="98"/>
        <v>0</v>
      </c>
      <c r="H104" s="147">
        <f t="shared" ca="1" si="98"/>
        <v>0</v>
      </c>
      <c r="I104" s="147">
        <f t="shared" ca="1" si="98"/>
        <v>0</v>
      </c>
      <c r="J104" s="147">
        <f t="shared" ca="1" si="98"/>
        <v>0</v>
      </c>
      <c r="K104" s="147">
        <f t="shared" ca="1" si="98"/>
        <v>0</v>
      </c>
      <c r="L104" s="147">
        <f t="shared" ca="1" si="98"/>
        <v>0</v>
      </c>
      <c r="M104" s="147">
        <f t="shared" ca="1" si="98"/>
        <v>0</v>
      </c>
      <c r="N104" s="147">
        <f t="shared" ca="1" si="98"/>
        <v>0</v>
      </c>
      <c r="O104" s="147">
        <f t="shared" ca="1" si="98"/>
        <v>0</v>
      </c>
      <c r="P104" s="147">
        <f t="shared" ca="1" si="98"/>
        <v>0</v>
      </c>
      <c r="Q104" s="147">
        <f t="shared" ca="1" si="98"/>
        <v>0</v>
      </c>
      <c r="R104" s="147">
        <f t="shared" ca="1" si="98"/>
        <v>0</v>
      </c>
    </row>
    <row r="105" spans="2:18">
      <c r="B105" s="128"/>
      <c r="C105" s="125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</row>
    <row r="106" spans="2:18">
      <c r="B106" s="128" t="s">
        <v>418</v>
      </c>
      <c r="C106" s="125"/>
      <c r="D106" s="314">
        <f ca="1">D104*(1-D108)</f>
        <v>0</v>
      </c>
      <c r="E106" s="314">
        <f t="shared" ref="E106:R106" ca="1" si="99">E104*(1-E108)</f>
        <v>0</v>
      </c>
      <c r="F106" s="314">
        <f t="shared" ca="1" si="99"/>
        <v>0</v>
      </c>
      <c r="G106" s="314">
        <f t="shared" ca="1" si="99"/>
        <v>0</v>
      </c>
      <c r="H106" s="314">
        <f t="shared" ca="1" si="99"/>
        <v>0</v>
      </c>
      <c r="I106" s="314">
        <f t="shared" ca="1" si="99"/>
        <v>0</v>
      </c>
      <c r="J106" s="314">
        <f t="shared" ca="1" si="99"/>
        <v>0</v>
      </c>
      <c r="K106" s="314">
        <f t="shared" ca="1" si="99"/>
        <v>0</v>
      </c>
      <c r="L106" s="314">
        <f t="shared" ca="1" si="99"/>
        <v>0</v>
      </c>
      <c r="M106" s="314">
        <f t="shared" ca="1" si="99"/>
        <v>0</v>
      </c>
      <c r="N106" s="314">
        <f t="shared" ca="1" si="99"/>
        <v>0</v>
      </c>
      <c r="O106" s="314">
        <f t="shared" ca="1" si="99"/>
        <v>0</v>
      </c>
      <c r="P106" s="314">
        <f t="shared" ca="1" si="99"/>
        <v>0</v>
      </c>
      <c r="Q106" s="314">
        <f t="shared" ca="1" si="99"/>
        <v>0</v>
      </c>
      <c r="R106" s="314">
        <f t="shared" ca="1" si="99"/>
        <v>0</v>
      </c>
    </row>
    <row r="107" spans="2:18">
      <c r="C107" s="125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</row>
    <row r="108" spans="2:18">
      <c r="B108" s="123" t="s">
        <v>419</v>
      </c>
      <c r="C108" s="125"/>
      <c r="D108" s="94">
        <f>Assumptions!$W$84</f>
        <v>0.97</v>
      </c>
      <c r="E108" s="94">
        <f>Assumptions!$W$84</f>
        <v>0.97</v>
      </c>
      <c r="F108" s="94">
        <f>Assumptions!$W$84</f>
        <v>0.97</v>
      </c>
      <c r="G108" s="94">
        <f>Assumptions!$W$84</f>
        <v>0.97</v>
      </c>
      <c r="H108" s="94">
        <f>Assumptions!$W$84</f>
        <v>0.97</v>
      </c>
      <c r="I108" s="94">
        <f>Assumptions!$W$84</f>
        <v>0.97</v>
      </c>
      <c r="J108" s="94">
        <f>Assumptions!$W$84</f>
        <v>0.97</v>
      </c>
      <c r="K108" s="94">
        <f>Assumptions!$W$84</f>
        <v>0.97</v>
      </c>
      <c r="L108" s="94">
        <f>Assumptions!$W$84</f>
        <v>0.97</v>
      </c>
      <c r="M108" s="94">
        <f>Assumptions!$W$84</f>
        <v>0.97</v>
      </c>
      <c r="N108" s="94">
        <f>Assumptions!$W$84</f>
        <v>0.97</v>
      </c>
      <c r="O108" s="94">
        <f>Assumptions!$W$84</f>
        <v>0.97</v>
      </c>
      <c r="P108" s="94">
        <f>Assumptions!$W$84</f>
        <v>0.97</v>
      </c>
      <c r="Q108" s="94">
        <f>Assumptions!$W$84</f>
        <v>0.97</v>
      </c>
      <c r="R108" s="94">
        <f>Assumptions!$W$84</f>
        <v>0.97</v>
      </c>
    </row>
    <row r="109" spans="2:18" ht="17.100000000000001" thickBot="1">
      <c r="B109" s="123"/>
      <c r="C109" s="125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</row>
    <row r="110" spans="2:18" ht="17.100000000000001" thickBot="1">
      <c r="B110" s="315" t="s">
        <v>420</v>
      </c>
      <c r="C110" s="288"/>
      <c r="D110" s="289">
        <f ca="1">D104-D106</f>
        <v>0</v>
      </c>
      <c r="E110" s="289">
        <f t="shared" ref="E110:R110" ca="1" si="100">E104-E106</f>
        <v>0</v>
      </c>
      <c r="F110" s="289">
        <f t="shared" ca="1" si="100"/>
        <v>0</v>
      </c>
      <c r="G110" s="289">
        <f t="shared" ca="1" si="100"/>
        <v>0</v>
      </c>
      <c r="H110" s="289">
        <f t="shared" ca="1" si="100"/>
        <v>0</v>
      </c>
      <c r="I110" s="289">
        <f t="shared" ca="1" si="100"/>
        <v>0</v>
      </c>
      <c r="J110" s="289">
        <f t="shared" ca="1" si="100"/>
        <v>0</v>
      </c>
      <c r="K110" s="289">
        <f t="shared" ca="1" si="100"/>
        <v>0</v>
      </c>
      <c r="L110" s="289">
        <f t="shared" ca="1" si="100"/>
        <v>0</v>
      </c>
      <c r="M110" s="289">
        <f t="shared" ca="1" si="100"/>
        <v>0</v>
      </c>
      <c r="N110" s="289">
        <f t="shared" ca="1" si="100"/>
        <v>0</v>
      </c>
      <c r="O110" s="289">
        <f t="shared" ca="1" si="100"/>
        <v>0</v>
      </c>
      <c r="P110" s="289">
        <f t="shared" ca="1" si="100"/>
        <v>0</v>
      </c>
      <c r="Q110" s="289">
        <f t="shared" ca="1" si="100"/>
        <v>0</v>
      </c>
      <c r="R110" s="290">
        <f t="shared" ca="1" si="100"/>
        <v>0</v>
      </c>
    </row>
    <row r="111" spans="2:18">
      <c r="B111" s="127" t="s">
        <v>421</v>
      </c>
      <c r="C111" s="125"/>
      <c r="D111" s="147">
        <f ca="1">D110/Assumptions!$W$93</f>
        <v>0</v>
      </c>
      <c r="E111" s="147">
        <f ca="1">E110/Assumptions!$W$93</f>
        <v>0</v>
      </c>
      <c r="F111" s="147">
        <f ca="1">F110/Assumptions!$W$93</f>
        <v>0</v>
      </c>
      <c r="G111" s="147">
        <f ca="1">G110/Assumptions!$W$93</f>
        <v>0</v>
      </c>
      <c r="H111" s="147">
        <f ca="1">H110/Assumptions!$W$93</f>
        <v>0</v>
      </c>
      <c r="I111" s="147">
        <f ca="1">I110/Assumptions!$W$93</f>
        <v>0</v>
      </c>
      <c r="J111" s="147">
        <f ca="1">J110/Assumptions!$W$93</f>
        <v>0</v>
      </c>
      <c r="K111" s="147">
        <f ca="1">K110/Assumptions!$W$93</f>
        <v>0</v>
      </c>
      <c r="L111" s="147">
        <f ca="1">L110/Assumptions!$W$93</f>
        <v>0</v>
      </c>
      <c r="M111" s="147">
        <f ca="1">M110/Assumptions!$W$93</f>
        <v>0</v>
      </c>
      <c r="N111" s="147">
        <f ca="1">N110/Assumptions!$W$93</f>
        <v>0</v>
      </c>
      <c r="O111" s="147">
        <f ca="1">O110/Assumptions!$W$93</f>
        <v>0</v>
      </c>
      <c r="P111" s="147">
        <f ca="1">P110/Assumptions!$W$93</f>
        <v>0</v>
      </c>
      <c r="Q111" s="147">
        <f ca="1">Q110/Assumptions!$W$93</f>
        <v>0</v>
      </c>
      <c r="R111" s="147">
        <f ca="1">R110/Assumptions!$W$93</f>
        <v>0</v>
      </c>
    </row>
    <row r="112" spans="2:18" ht="17.100000000000001" thickBot="1">
      <c r="B112" s="128"/>
      <c r="C112" s="128"/>
    </row>
    <row r="113" spans="2:18" ht="17.100000000000001" thickBot="1">
      <c r="B113" s="287" t="s">
        <v>424</v>
      </c>
      <c r="C113" s="288"/>
      <c r="D113" s="289">
        <f ca="1">D87+D66+D45+D22+D110</f>
        <v>0</v>
      </c>
      <c r="E113" s="289">
        <f t="shared" ref="E113:R113" ca="1" si="101">E87+E66+E45+E22+E110</f>
        <v>0</v>
      </c>
      <c r="F113" s="289">
        <f t="shared" ca="1" si="101"/>
        <v>0</v>
      </c>
      <c r="G113" s="289">
        <f t="shared" ca="1" si="101"/>
        <v>0</v>
      </c>
      <c r="H113" s="289">
        <f t="shared" ca="1" si="101"/>
        <v>14927823.553117314</v>
      </c>
      <c r="I113" s="289">
        <f t="shared" ca="1" si="101"/>
        <v>15351704.24336176</v>
      </c>
      <c r="J113" s="289">
        <f t="shared" ca="1" si="101"/>
        <v>15788219.80064008</v>
      </c>
      <c r="K113" s="289">
        <f t="shared" ca="1" si="101"/>
        <v>16237757.306210587</v>
      </c>
      <c r="L113" s="289">
        <f t="shared" ca="1" si="101"/>
        <v>16700715.882916458</v>
      </c>
      <c r="M113" s="289">
        <f t="shared" ca="1" si="101"/>
        <v>17177507.07315778</v>
      </c>
      <c r="N113" s="289">
        <f t="shared" ca="1" si="101"/>
        <v>17668555.228796504</v>
      </c>
      <c r="O113" s="289">
        <f t="shared" ca="1" si="101"/>
        <v>18174297.913372703</v>
      </c>
      <c r="P113" s="289">
        <f t="shared" ca="1" si="101"/>
        <v>18695186.317022417</v>
      </c>
      <c r="Q113" s="289">
        <f t="shared" ca="1" si="101"/>
        <v>19231685.684499919</v>
      </c>
      <c r="R113" s="289">
        <f t="shared" ca="1" si="101"/>
        <v>19784275.756719958</v>
      </c>
    </row>
    <row r="114" spans="2:18">
      <c r="B114" s="125" t="s">
        <v>425</v>
      </c>
      <c r="C114" s="125"/>
      <c r="D114" s="147">
        <f ca="1">D88+D67+D46+D23+D111</f>
        <v>0</v>
      </c>
      <c r="E114" s="147">
        <f t="shared" ref="E114:R114" ca="1" si="102">E88+E67+E46+E23+E111</f>
        <v>0</v>
      </c>
      <c r="F114" s="147">
        <f t="shared" ca="1" si="102"/>
        <v>0</v>
      </c>
      <c r="G114" s="147">
        <f t="shared" ca="1" si="102"/>
        <v>0</v>
      </c>
      <c r="H114" s="147">
        <f t="shared" ca="1" si="102"/>
        <v>324636100.47520727</v>
      </c>
      <c r="I114" s="147">
        <f t="shared" ca="1" si="102"/>
        <v>334012753.41854954</v>
      </c>
      <c r="J114" s="147">
        <f t="shared" ca="1" si="102"/>
        <v>343670573.50679797</v>
      </c>
      <c r="K114" s="147">
        <f t="shared" ca="1" si="102"/>
        <v>353618170.56790447</v>
      </c>
      <c r="L114" s="147">
        <f t="shared" ca="1" si="102"/>
        <v>363864421.24020547</v>
      </c>
      <c r="M114" s="147">
        <f t="shared" ca="1" si="102"/>
        <v>374418477.30091131</v>
      </c>
      <c r="N114" s="147">
        <f t="shared" ca="1" si="102"/>
        <v>385289774.25586116</v>
      </c>
      <c r="O114" s="147">
        <f t="shared" ca="1" si="102"/>
        <v>396488040.198771</v>
      </c>
      <c r="P114" s="147">
        <f t="shared" ca="1" si="102"/>
        <v>408023304.94846189</v>
      </c>
      <c r="Q114" s="147">
        <f t="shared" ca="1" si="102"/>
        <v>419905909.47282338</v>
      </c>
      <c r="R114" s="147">
        <f t="shared" ca="1" si="102"/>
        <v>432146515.6085459</v>
      </c>
    </row>
    <row r="115" spans="2:18">
      <c r="B115" s="125"/>
      <c r="C115" s="125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</row>
    <row r="116" spans="2:18">
      <c r="B116" s="125"/>
      <c r="C116" s="125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</row>
    <row r="117" spans="2:18" ht="18">
      <c r="B117" s="302" t="s">
        <v>35</v>
      </c>
      <c r="C117" s="284"/>
      <c r="D117" s="284"/>
      <c r="E117" s="284"/>
      <c r="F117" s="284"/>
      <c r="G117" s="284"/>
      <c r="H117" s="284"/>
      <c r="I117" s="284"/>
      <c r="J117" s="284"/>
      <c r="K117" s="284"/>
      <c r="L117" s="284"/>
      <c r="M117" s="284"/>
      <c r="N117" s="284"/>
      <c r="O117" s="284"/>
      <c r="P117" s="284"/>
      <c r="Q117" s="284"/>
      <c r="R117" s="284"/>
    </row>
    <row r="118" spans="2:18">
      <c r="B118" s="123" t="s">
        <v>426</v>
      </c>
      <c r="C118" s="147"/>
      <c r="D118" s="147">
        <v>0</v>
      </c>
      <c r="E118" s="147">
        <f ca="1">D121-D128</f>
        <v>0</v>
      </c>
      <c r="F118" s="147">
        <f t="shared" ref="F118:N118" ca="1" si="103">E121-E128</f>
        <v>0</v>
      </c>
      <c r="G118" s="147">
        <f t="shared" ca="1" si="103"/>
        <v>26907222.300947245</v>
      </c>
      <c r="H118" s="147">
        <f t="shared" ca="1" si="103"/>
        <v>125084228.45701392</v>
      </c>
      <c r="I118" s="147">
        <f t="shared" ca="1" si="103"/>
        <v>205595391.64706969</v>
      </c>
      <c r="J118" s="147">
        <f t="shared" ca="1" si="103"/>
        <v>201306940.26491719</v>
      </c>
      <c r="K118" s="147">
        <f t="shared" ca="1" si="103"/>
        <v>0</v>
      </c>
      <c r="L118" s="147">
        <f t="shared" ca="1" si="103"/>
        <v>0</v>
      </c>
      <c r="M118" s="147">
        <f t="shared" ca="1" si="103"/>
        <v>0</v>
      </c>
      <c r="N118" s="147">
        <f t="shared" ca="1" si="103"/>
        <v>0</v>
      </c>
      <c r="O118" s="147">
        <f t="shared" ref="O118:R118" ca="1" si="104">N121-N128</f>
        <v>0</v>
      </c>
      <c r="P118" s="147">
        <f t="shared" ca="1" si="104"/>
        <v>0</v>
      </c>
      <c r="Q118" s="147">
        <f t="shared" ca="1" si="104"/>
        <v>0</v>
      </c>
      <c r="R118" s="147">
        <f t="shared" ca="1" si="104"/>
        <v>0</v>
      </c>
    </row>
    <row r="119" spans="2:18">
      <c r="B119" s="123" t="s">
        <v>427</v>
      </c>
      <c r="C119" s="147"/>
      <c r="D119" s="147">
        <f ca="1">D158</f>
        <v>0</v>
      </c>
      <c r="E119" s="147">
        <f ca="1">E158</f>
        <v>0</v>
      </c>
      <c r="F119" s="147">
        <f ca="1">F158</f>
        <v>27415598.045138821</v>
      </c>
      <c r="G119" s="147">
        <f ca="1">G158</f>
        <v>100636695.09553313</v>
      </c>
      <c r="H119" s="147">
        <f ca="1">H158</f>
        <v>84719069.745617703</v>
      </c>
      <c r="I119" s="147">
        <f ca="1">I158</f>
        <v>0</v>
      </c>
      <c r="J119" s="147">
        <f ca="1">J158</f>
        <v>0</v>
      </c>
      <c r="K119" s="147">
        <f ca="1">K158</f>
        <v>0</v>
      </c>
      <c r="L119" s="147">
        <f ca="1">L158</f>
        <v>0</v>
      </c>
      <c r="M119" s="147">
        <f ca="1">M158</f>
        <v>0</v>
      </c>
      <c r="N119" s="147">
        <f ca="1">N158</f>
        <v>0</v>
      </c>
      <c r="O119" s="147">
        <f t="shared" ref="O119:R119" ca="1" si="105">O158</f>
        <v>0</v>
      </c>
      <c r="P119" s="147">
        <f t="shared" ca="1" si="105"/>
        <v>0</v>
      </c>
      <c r="Q119" s="147">
        <f t="shared" ca="1" si="105"/>
        <v>0</v>
      </c>
      <c r="R119" s="147">
        <f t="shared" ca="1" si="105"/>
        <v>0</v>
      </c>
    </row>
    <row r="120" spans="2:18">
      <c r="B120" s="123" t="s">
        <v>428</v>
      </c>
      <c r="C120" s="147"/>
      <c r="D120" s="147">
        <v>0</v>
      </c>
      <c r="E120" s="147">
        <f ca="1">PPMT(Assumptions!$X$100,'Phase III Pro Forma'!E$1,Assumptions!$X$101,SUM('Phase III Pro Forma'!E118,E119))</f>
        <v>0</v>
      </c>
      <c r="F120" s="147">
        <f ca="1">PPMT(Assumptions!$X$100,'Phase III Pro Forma'!F$1,Assumptions!$X$101,SUM('Phase III Pro Forma'!F118,F119))</f>
        <v>-508375.74419157451</v>
      </c>
      <c r="G120" s="147">
        <f ca="1">PPMT(Assumptions!$X$100,'Phase III Pro Forma'!G$1,Assumptions!$X$101,SUM('Phase III Pro Forma'!G118,G119))</f>
        <v>-2459688.9394664583</v>
      </c>
      <c r="H120" s="147">
        <f ca="1">PPMT(Assumptions!$X$100,'Phase III Pro Forma'!H$1,Assumptions!$X$101,SUM('Phase III Pro Forma'!H118,H119))</f>
        <v>-4207906.5555619355</v>
      </c>
      <c r="I120" s="147">
        <f ca="1">PPMT(Assumptions!$X$100,'Phase III Pro Forma'!I$1,Assumptions!$X$101,SUM('Phase III Pro Forma'!I118,I119))</f>
        <v>-4288451.3821525034</v>
      </c>
      <c r="J120" s="147">
        <f ca="1">PPMT(Assumptions!$X$100,'Phase III Pro Forma'!J$1,Assumptions!$X$101,SUM('Phase III Pro Forma'!J118,J119))</f>
        <v>-4366959.8820864968</v>
      </c>
      <c r="K120" s="147">
        <f ca="1">PPMT(Assumptions!$X$100,'Phase III Pro Forma'!K$1,Assumptions!$X$101,SUM('Phase III Pro Forma'!K118,K119))</f>
        <v>0</v>
      </c>
      <c r="L120" s="147">
        <f ca="1">PPMT(Assumptions!$X$100,'Phase III Pro Forma'!L$1,Assumptions!$X$101,SUM('Phase III Pro Forma'!L118,L119))</f>
        <v>0</v>
      </c>
      <c r="M120" s="147">
        <f ca="1">PPMT(Assumptions!$X$100,'Phase III Pro Forma'!M$1,Assumptions!$X$101,SUM('Phase III Pro Forma'!M118,M119))</f>
        <v>0</v>
      </c>
      <c r="N120" s="147">
        <f ca="1">PPMT(Assumptions!$X$100,'Phase III Pro Forma'!N$1,Assumptions!$X$101,SUM('Phase III Pro Forma'!N118,N119))</f>
        <v>0</v>
      </c>
      <c r="O120" s="147">
        <f ca="1">PPMT(Assumptions!$X$100,'Phase III Pro Forma'!O$1,Assumptions!$X$101,SUM('Phase III Pro Forma'!O118,O119))</f>
        <v>0</v>
      </c>
      <c r="P120" s="147">
        <f ca="1">PPMT(Assumptions!$X$100,'Phase III Pro Forma'!P$1,Assumptions!$X$101,SUM('Phase III Pro Forma'!P118,P119))</f>
        <v>0</v>
      </c>
      <c r="Q120" s="147">
        <f ca="1">PPMT(Assumptions!$X$100,'Phase III Pro Forma'!Q$1,Assumptions!$X$101,SUM('Phase III Pro Forma'!Q118,Q119))</f>
        <v>0</v>
      </c>
      <c r="R120" s="147">
        <f ca="1">PPMT(Assumptions!$X$100,'Phase III Pro Forma'!R$1,Assumptions!$X$101,SUM('Phase III Pro Forma'!R118,R119))</f>
        <v>0</v>
      </c>
    </row>
    <row r="121" spans="2:18">
      <c r="B121" s="123" t="s">
        <v>429</v>
      </c>
      <c r="C121" s="147"/>
      <c r="D121" s="147">
        <f ca="1">SUM(D118:D120)</f>
        <v>0</v>
      </c>
      <c r="E121" s="147">
        <f t="shared" ref="E121:N121" ca="1" si="106">SUM(E118:E120)</f>
        <v>0</v>
      </c>
      <c r="F121" s="147">
        <f t="shared" ca="1" si="106"/>
        <v>26907222.300947245</v>
      </c>
      <c r="G121" s="147">
        <f t="shared" ca="1" si="106"/>
        <v>125084228.45701392</v>
      </c>
      <c r="H121" s="147">
        <f t="shared" ca="1" si="106"/>
        <v>205595391.64706969</v>
      </c>
      <c r="I121" s="147">
        <f t="shared" ca="1" si="106"/>
        <v>201306940.26491719</v>
      </c>
      <c r="J121" s="147">
        <f t="shared" ca="1" si="106"/>
        <v>196939980.38283071</v>
      </c>
      <c r="K121" s="147">
        <f t="shared" ca="1" si="106"/>
        <v>0</v>
      </c>
      <c r="L121" s="147">
        <f t="shared" ca="1" si="106"/>
        <v>0</v>
      </c>
      <c r="M121" s="147">
        <f t="shared" ca="1" si="106"/>
        <v>0</v>
      </c>
      <c r="N121" s="147">
        <f t="shared" ca="1" si="106"/>
        <v>0</v>
      </c>
      <c r="O121" s="147">
        <f t="shared" ref="O121" ca="1" si="107">SUM(O118:O120)</f>
        <v>0</v>
      </c>
      <c r="P121" s="147">
        <f t="shared" ref="P121" ca="1" si="108">SUM(P118:P120)</f>
        <v>0</v>
      </c>
      <c r="Q121" s="147">
        <f t="shared" ref="Q121" ca="1" si="109">SUM(Q118:Q120)</f>
        <v>0</v>
      </c>
      <c r="R121" s="147">
        <f t="shared" ref="R121" ca="1" si="110">SUM(R118:R120)</f>
        <v>0</v>
      </c>
    </row>
    <row r="122" spans="2:18">
      <c r="B122" s="128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</row>
    <row r="123" spans="2:18">
      <c r="B123" s="128" t="s">
        <v>430</v>
      </c>
      <c r="C123" s="147"/>
      <c r="D123" s="147">
        <f>D118*Assumptions!$X$100</f>
        <v>0</v>
      </c>
      <c r="E123" s="147">
        <f ca="1">E118*Assumptions!$X$100</f>
        <v>0</v>
      </c>
      <c r="F123" s="147">
        <f ca="1">F118*Assumptions!$X$100</f>
        <v>0</v>
      </c>
      <c r="G123" s="147">
        <f ca="1">G118*Assumptions!$X$100</f>
        <v>1076288.8920378899</v>
      </c>
      <c r="H123" s="147">
        <f ca="1">H118*Assumptions!$X$100</f>
        <v>5003369.1382805565</v>
      </c>
      <c r="I123" s="147">
        <f ca="1">I118*Assumptions!$X$100</f>
        <v>8223815.6658827877</v>
      </c>
      <c r="J123" s="147">
        <f ca="1">J118*Assumptions!$X$100</f>
        <v>8052277.6105966875</v>
      </c>
      <c r="K123" s="147">
        <f ca="1">K118*Assumptions!$X$100</f>
        <v>0</v>
      </c>
      <c r="L123" s="147">
        <f ca="1">L118*Assumptions!$X$100</f>
        <v>0</v>
      </c>
      <c r="M123" s="147">
        <f ca="1">M118*Assumptions!$X$100</f>
        <v>0</v>
      </c>
      <c r="N123" s="147">
        <f ca="1">N118*Assumptions!$X$100</f>
        <v>0</v>
      </c>
      <c r="O123" s="147">
        <f ca="1">O118*Assumptions!$X$100</f>
        <v>0</v>
      </c>
      <c r="P123" s="147">
        <f ca="1">P118*Assumptions!$X$100</f>
        <v>0</v>
      </c>
      <c r="Q123" s="147">
        <f ca="1">Q118*Assumptions!$X$100</f>
        <v>0</v>
      </c>
      <c r="R123" s="147">
        <f ca="1">R118*Assumptions!$X$100</f>
        <v>0</v>
      </c>
    </row>
    <row r="124" spans="2:18">
      <c r="B124" s="128" t="s">
        <v>431</v>
      </c>
      <c r="C124" s="147"/>
      <c r="D124" s="147">
        <f>D123-D120</f>
        <v>0</v>
      </c>
      <c r="E124" s="147">
        <f t="shared" ref="E124:N124" ca="1" si="111">E123-E120</f>
        <v>0</v>
      </c>
      <c r="F124" s="147">
        <f t="shared" ca="1" si="111"/>
        <v>508375.74419157451</v>
      </c>
      <c r="G124" s="147">
        <f t="shared" ca="1" si="111"/>
        <v>3535977.8315043482</v>
      </c>
      <c r="H124" s="147">
        <f t="shared" ca="1" si="111"/>
        <v>9211275.693842493</v>
      </c>
      <c r="I124" s="147">
        <f t="shared" ca="1" si="111"/>
        <v>12512267.04803529</v>
      </c>
      <c r="J124" s="147">
        <f t="shared" ca="1" si="111"/>
        <v>12419237.492683183</v>
      </c>
      <c r="K124" s="147">
        <f t="shared" ca="1" si="111"/>
        <v>0</v>
      </c>
      <c r="L124" s="147">
        <f t="shared" ca="1" si="111"/>
        <v>0</v>
      </c>
      <c r="M124" s="147">
        <f t="shared" ca="1" si="111"/>
        <v>0</v>
      </c>
      <c r="N124" s="147">
        <f t="shared" ca="1" si="111"/>
        <v>0</v>
      </c>
      <c r="O124" s="147">
        <f t="shared" ref="O124" ca="1" si="112">O123-O120</f>
        <v>0</v>
      </c>
      <c r="P124" s="147">
        <f t="shared" ref="P124" ca="1" si="113">P123-P120</f>
        <v>0</v>
      </c>
      <c r="Q124" s="147">
        <f t="shared" ref="Q124" ca="1" si="114">Q123-Q120</f>
        <v>0</v>
      </c>
      <c r="R124" s="147">
        <f t="shared" ref="R124" ca="1" si="115">R123-R120</f>
        <v>0</v>
      </c>
    </row>
    <row r="125" spans="2:18">
      <c r="B125" s="128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</row>
    <row r="126" spans="2:18">
      <c r="B126" s="128" t="s">
        <v>191</v>
      </c>
      <c r="C126" s="147"/>
      <c r="D126" s="147">
        <f ca="1">D119*Assumptions!$X$102</f>
        <v>0</v>
      </c>
      <c r="E126" s="147">
        <f ca="1">E119*Assumptions!$X$102</f>
        <v>0</v>
      </c>
      <c r="F126" s="147">
        <f ca="1">F119*Assumptions!$X$102</f>
        <v>411233.97067708231</v>
      </c>
      <c r="G126" s="147">
        <f ca="1">G119*Assumptions!$X$102</f>
        <v>1509550.426432997</v>
      </c>
      <c r="H126" s="147">
        <f ca="1">H119*Assumptions!$X$102</f>
        <v>1270786.0461842655</v>
      </c>
      <c r="I126" s="147">
        <f ca="1">I119*Assumptions!$X$102</f>
        <v>0</v>
      </c>
      <c r="J126" s="147">
        <f ca="1">J119*Assumptions!$X$102</f>
        <v>0</v>
      </c>
      <c r="K126" s="147">
        <f ca="1">K119*Assumptions!$X$102</f>
        <v>0</v>
      </c>
      <c r="L126" s="147">
        <f ca="1">L119*Assumptions!$X$102</f>
        <v>0</v>
      </c>
      <c r="M126" s="147">
        <f ca="1">M119*Assumptions!$X$102</f>
        <v>0</v>
      </c>
      <c r="N126" s="147">
        <f ca="1">N119*Assumptions!$X$102</f>
        <v>0</v>
      </c>
      <c r="O126" s="147">
        <f ca="1">O119*Assumptions!$X$102</f>
        <v>0</v>
      </c>
      <c r="P126" s="147">
        <f ca="1">P119*Assumptions!$X$102</f>
        <v>0</v>
      </c>
      <c r="Q126" s="147">
        <f ca="1">Q119*Assumptions!$X$102</f>
        <v>0</v>
      </c>
      <c r="R126" s="147">
        <f ca="1">R119*Assumptions!$X$102</f>
        <v>0</v>
      </c>
    </row>
    <row r="127" spans="2:18">
      <c r="B127" s="128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</row>
    <row r="128" spans="2:18">
      <c r="B128" s="128" t="s">
        <v>432</v>
      </c>
      <c r="C128" s="147"/>
      <c r="D128" s="147">
        <f>IF(D69=YEAR(Assumptions!$H$6),D121,0)</f>
        <v>0</v>
      </c>
      <c r="E128" s="147">
        <f>IF(E69=YEAR(Assumptions!$H$6),E121,0)</f>
        <v>0</v>
      </c>
      <c r="F128" s="147">
        <f>IF(F69=YEAR(Assumptions!$H$6),F121,0)</f>
        <v>0</v>
      </c>
      <c r="G128" s="147">
        <f>IF(G69=YEAR(Assumptions!$H$6),G121,0)</f>
        <v>0</v>
      </c>
      <c r="H128" s="147">
        <f>IF(H69=YEAR(Assumptions!$H$6),H121,0)</f>
        <v>0</v>
      </c>
      <c r="I128" s="147">
        <f>IF(I69=YEAR(Assumptions!$H$6),I121,0)</f>
        <v>0</v>
      </c>
      <c r="J128" s="147">
        <f ca="1">IF(J69=YEAR(Assumptions!$H$6),J121,0)</f>
        <v>196939980.38283071</v>
      </c>
      <c r="K128" s="147">
        <f>IF(K69=YEAR(Assumptions!$H$6),K121,0)</f>
        <v>0</v>
      </c>
      <c r="L128" s="147">
        <f>IF(L69=YEAR(Assumptions!$H$6),L121,0)</f>
        <v>0</v>
      </c>
      <c r="M128" s="147">
        <f>IF(M69=YEAR(Assumptions!$H$6),M121,0)</f>
        <v>0</v>
      </c>
      <c r="N128" s="147">
        <f>IF(N69=YEAR(Assumptions!$H$6),N121,0)</f>
        <v>0</v>
      </c>
      <c r="O128" s="147">
        <f>IF(O69=YEAR(Assumptions!$H$6),O121,0)</f>
        <v>0</v>
      </c>
      <c r="P128" s="147">
        <f>IF(P69=YEAR(Assumptions!$H$6),P121,0)</f>
        <v>0</v>
      </c>
      <c r="Q128" s="147">
        <f>IF(Q69=YEAR(Assumptions!$H$6),Q121,0)</f>
        <v>0</v>
      </c>
      <c r="R128" s="147">
        <f>IF(R69=YEAR(Assumptions!$H$6),R121,0)</f>
        <v>0</v>
      </c>
    </row>
    <row r="129" spans="2:18" ht="17.100000000000001" thickBot="1">
      <c r="B129" s="128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</row>
    <row r="130" spans="2:18" ht="17.100000000000001" thickBot="1">
      <c r="B130" s="287" t="s">
        <v>433</v>
      </c>
      <c r="C130" s="288"/>
      <c r="D130" s="289">
        <f ca="1">IF(D69&lt;=YEAR(Assumptions!$H$6),D113-D124-D126-D128,0)</f>
        <v>0</v>
      </c>
      <c r="E130" s="289">
        <f ca="1">IF(E69&lt;=YEAR(Assumptions!$H$6),E113-E124-E126-E128,0)</f>
        <v>0</v>
      </c>
      <c r="F130" s="289">
        <f ca="1">IF(F69&lt;=YEAR(Assumptions!$H$6),F113-F124-F126-F128,0)</f>
        <v>-919609.71486865683</v>
      </c>
      <c r="G130" s="289">
        <f ca="1">IF(G69&lt;=YEAR(Assumptions!$H$6),G113-G124-G126-G128,0)</f>
        <v>-5045528.2579373457</v>
      </c>
      <c r="H130" s="289">
        <f ca="1">IF(H69&lt;=YEAR(Assumptions!$H$6),H113-H124-H126-H128,0)</f>
        <v>4445761.8130905554</v>
      </c>
      <c r="I130" s="289">
        <f ca="1">IF(I69&lt;=YEAR(Assumptions!$H$6),I113-I124-I126-I128,0)</f>
        <v>2839437.1953264698</v>
      </c>
      <c r="J130" s="289">
        <f ca="1">IF(J69&lt;=YEAR(Assumptions!$H$6),J113-J124-J126-J128,0)</f>
        <v>-193570998.07487381</v>
      </c>
      <c r="K130" s="289">
        <f>IF(K69&lt;=YEAR(Assumptions!$H$6),K113-K124-K126-K128,0)</f>
        <v>0</v>
      </c>
      <c r="L130" s="289">
        <f>IF(L69&lt;=YEAR(Assumptions!$H$6),L113-L124-L126-L128,0)</f>
        <v>0</v>
      </c>
      <c r="M130" s="289">
        <f>IF(M69&lt;=YEAR(Assumptions!$H$6),M113-M124-M126-M128,0)</f>
        <v>0</v>
      </c>
      <c r="N130" s="289">
        <f>IF(N69&lt;=YEAR(Assumptions!$H$6),N113-N124-N126-N128,0)</f>
        <v>0</v>
      </c>
      <c r="O130" s="289">
        <f>IF(O69&lt;=YEAR(Assumptions!$H$6),O113-O124-O126-O128,0)</f>
        <v>0</v>
      </c>
      <c r="P130" s="289">
        <f>IF(P69&lt;=YEAR(Assumptions!$H$6),P113-P124-P126-P128,0)</f>
        <v>0</v>
      </c>
      <c r="Q130" s="289">
        <f>IF(Q69&lt;=YEAR(Assumptions!$H$6),Q113-Q124-Q126-Q128,0)</f>
        <v>0</v>
      </c>
      <c r="R130" s="289">
        <f>IF(R69&lt;=YEAR(Assumptions!$H$6),R113-R124-R126-R128,0)</f>
        <v>0</v>
      </c>
    </row>
    <row r="131" spans="2:18">
      <c r="B131" s="128"/>
      <c r="C131" s="128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</row>
    <row r="132" spans="2:18">
      <c r="B132" s="128"/>
      <c r="C132" s="128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</row>
    <row r="133" spans="2:18">
      <c r="B133" s="245" t="s">
        <v>434</v>
      </c>
      <c r="C133" s="251"/>
      <c r="D133" s="226"/>
      <c r="E133" s="226"/>
      <c r="F133" s="226"/>
      <c r="G133" s="226"/>
      <c r="H133" s="226"/>
      <c r="I133" s="226"/>
      <c r="J133" s="226"/>
      <c r="K133" s="226"/>
      <c r="L133" s="226"/>
      <c r="M133" s="226"/>
      <c r="N133" s="246"/>
      <c r="O133" s="246"/>
      <c r="P133" s="246"/>
      <c r="Q133" s="246"/>
      <c r="R133" s="246"/>
    </row>
    <row r="134" spans="2:18">
      <c r="B134" s="247" t="s">
        <v>435</v>
      </c>
      <c r="C134" s="128"/>
      <c r="D134" s="147">
        <f>IF(D69=YEAR(Assumptions!$H$6),SUM('Phase III Pro Forma'!D88,'Phase III Pro Forma'!D67,'Phase III Pro Forma'!D46,'Phase III Pro Forma'!D23),0)</f>
        <v>0</v>
      </c>
      <c r="E134" s="147">
        <f>IF(E69=YEAR(Assumptions!$H$6),SUM('Phase III Pro Forma'!E88,'Phase III Pro Forma'!E67,'Phase III Pro Forma'!E46,'Phase III Pro Forma'!E23),0)</f>
        <v>0</v>
      </c>
      <c r="F134" s="147">
        <f>IF(F69=YEAR(Assumptions!$H$6),SUM('Phase III Pro Forma'!F88,'Phase III Pro Forma'!F67,'Phase III Pro Forma'!F46,'Phase III Pro Forma'!F23),0)</f>
        <v>0</v>
      </c>
      <c r="G134" s="147">
        <f>IF(G69=YEAR(Assumptions!$H$6),SUM('Phase III Pro Forma'!G88,'Phase III Pro Forma'!G67,'Phase III Pro Forma'!G46,'Phase III Pro Forma'!G23),0)</f>
        <v>0</v>
      </c>
      <c r="H134" s="147">
        <f>IF(H69=YEAR(Assumptions!$H$6),SUM('Phase III Pro Forma'!H88,'Phase III Pro Forma'!H67,'Phase III Pro Forma'!H46,'Phase III Pro Forma'!H23),0)</f>
        <v>0</v>
      </c>
      <c r="I134" s="147">
        <f>IF(I69=YEAR(Assumptions!$H$6),SUM('Phase III Pro Forma'!I88,'Phase III Pro Forma'!I67,'Phase III Pro Forma'!I46,'Phase III Pro Forma'!I23),0)</f>
        <v>0</v>
      </c>
      <c r="J134" s="147">
        <f ca="1">IF(J69=YEAR(Assumptions!$H$6),SUM('Phase III Pro Forma'!J88,'Phase III Pro Forma'!J67,'Phase III Pro Forma'!J46,'Phase III Pro Forma'!J23),0)</f>
        <v>343670573.50679797</v>
      </c>
      <c r="K134" s="147">
        <f>IF(K69=YEAR(Assumptions!$H$6),SUM('Phase III Pro Forma'!K88,'Phase III Pro Forma'!K67,'Phase III Pro Forma'!K46,'Phase III Pro Forma'!K23),0)</f>
        <v>0</v>
      </c>
      <c r="L134" s="147">
        <f>IF(L69=YEAR(Assumptions!$H$6),SUM('Phase III Pro Forma'!L88,'Phase III Pro Forma'!L67,'Phase III Pro Forma'!L46,'Phase III Pro Forma'!L23),0)</f>
        <v>0</v>
      </c>
      <c r="M134" s="147">
        <f>IF(M69=YEAR(Assumptions!$H$6),SUM('Phase III Pro Forma'!M88,'Phase III Pro Forma'!M67,'Phase III Pro Forma'!M46,'Phase III Pro Forma'!M23),0)</f>
        <v>0</v>
      </c>
      <c r="N134" s="147">
        <f>IF(N69=YEAR(Assumptions!$H$6),SUM('Phase III Pro Forma'!N88,'Phase III Pro Forma'!N67,'Phase III Pro Forma'!N46,'Phase III Pro Forma'!N23),0)</f>
        <v>0</v>
      </c>
      <c r="O134" s="147">
        <f>IF(O69=YEAR(Assumptions!$H$6),SUM('Phase III Pro Forma'!O88,'Phase III Pro Forma'!O67,'Phase III Pro Forma'!O46,'Phase III Pro Forma'!O23),0)</f>
        <v>0</v>
      </c>
      <c r="P134" s="147">
        <f>IF(P69=YEAR(Assumptions!$H$6),SUM('Phase III Pro Forma'!P88,'Phase III Pro Forma'!P67,'Phase III Pro Forma'!P46,'Phase III Pro Forma'!P23),0)</f>
        <v>0</v>
      </c>
      <c r="Q134" s="147">
        <f>IF(Q69=YEAR(Assumptions!$H$6),SUM('Phase III Pro Forma'!Q88,'Phase III Pro Forma'!Q67,'Phase III Pro Forma'!Q46,'Phase III Pro Forma'!Q23),0)</f>
        <v>0</v>
      </c>
      <c r="R134" s="147">
        <f>IF(R69=YEAR(Assumptions!$H$6),SUM('Phase III Pro Forma'!R88,'Phase III Pro Forma'!R67,'Phase III Pro Forma'!R46,'Phase III Pro Forma'!R23),0)</f>
        <v>0</v>
      </c>
    </row>
    <row r="135" spans="2:18">
      <c r="B135" s="247" t="s">
        <v>436</v>
      </c>
      <c r="C135" s="128"/>
      <c r="D135" s="147">
        <f>-D134*Assumptions!$X$94</f>
        <v>0</v>
      </c>
      <c r="E135" s="147">
        <f>-E134*Assumptions!$X$94</f>
        <v>0</v>
      </c>
      <c r="F135" s="147">
        <f>-F134*Assumptions!$X$94</f>
        <v>0</v>
      </c>
      <c r="G135" s="147">
        <f>-G134*Assumptions!$X$94</f>
        <v>0</v>
      </c>
      <c r="H135" s="147">
        <f>-H134*Assumptions!$X$94</f>
        <v>0</v>
      </c>
      <c r="I135" s="147">
        <f>-I134*Assumptions!$X$94</f>
        <v>0</v>
      </c>
      <c r="J135" s="147">
        <f ca="1">-J134*Assumptions!$X$94</f>
        <v>-6873411.4701359598</v>
      </c>
      <c r="K135" s="147">
        <f>-K134*Assumptions!$X$94</f>
        <v>0</v>
      </c>
      <c r="L135" s="147">
        <f>-L134*Assumptions!$X$94</f>
        <v>0</v>
      </c>
      <c r="M135" s="147">
        <f>-M134*Assumptions!$X$94</f>
        <v>0</v>
      </c>
      <c r="N135" s="147">
        <f>-N134*Assumptions!$X$94</f>
        <v>0</v>
      </c>
      <c r="O135" s="147">
        <f>-O134*Assumptions!$X$94</f>
        <v>0</v>
      </c>
      <c r="P135" s="147">
        <f>-P134*Assumptions!$X$94</f>
        <v>0</v>
      </c>
      <c r="Q135" s="147">
        <f>-Q134*Assumptions!$X$94</f>
        <v>0</v>
      </c>
      <c r="R135" s="147">
        <f>-R134*Assumptions!$X$94</f>
        <v>0</v>
      </c>
    </row>
    <row r="136" spans="2:18">
      <c r="B136" s="249" t="s">
        <v>437</v>
      </c>
      <c r="C136" s="252"/>
      <c r="D136" s="217">
        <f>D135+D134</f>
        <v>0</v>
      </c>
      <c r="E136" s="217">
        <f t="shared" ref="E136:N136" si="116">E135+E134</f>
        <v>0</v>
      </c>
      <c r="F136" s="217">
        <f t="shared" si="116"/>
        <v>0</v>
      </c>
      <c r="G136" s="217">
        <f t="shared" si="116"/>
        <v>0</v>
      </c>
      <c r="H136" s="217">
        <f t="shared" si="116"/>
        <v>0</v>
      </c>
      <c r="I136" s="217">
        <f t="shared" si="116"/>
        <v>0</v>
      </c>
      <c r="J136" s="217">
        <f t="shared" ca="1" si="116"/>
        <v>336797162.03666198</v>
      </c>
      <c r="K136" s="217">
        <f t="shared" si="116"/>
        <v>0</v>
      </c>
      <c r="L136" s="217">
        <f t="shared" si="116"/>
        <v>0</v>
      </c>
      <c r="M136" s="217">
        <f t="shared" si="116"/>
        <v>0</v>
      </c>
      <c r="N136" s="250">
        <f t="shared" si="116"/>
        <v>0</v>
      </c>
      <c r="O136" s="250">
        <f t="shared" ref="O136" si="117">O135+O134</f>
        <v>0</v>
      </c>
      <c r="P136" s="250">
        <f t="shared" ref="P136" si="118">P135+P134</f>
        <v>0</v>
      </c>
      <c r="Q136" s="250">
        <f t="shared" ref="Q136" si="119">Q135+Q134</f>
        <v>0</v>
      </c>
      <c r="R136" s="250">
        <f t="shared" ref="R136" si="120">R135+R134</f>
        <v>0</v>
      </c>
    </row>
    <row r="137" spans="2:18" ht="17.100000000000001" thickBot="1">
      <c r="B137" s="128"/>
      <c r="C137" s="128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</row>
    <row r="138" spans="2:18" ht="17.100000000000001" thickBot="1">
      <c r="B138" s="287" t="s">
        <v>438</v>
      </c>
      <c r="C138" s="291"/>
      <c r="D138" s="289">
        <f ca="1">D136+D130</f>
        <v>0</v>
      </c>
      <c r="E138" s="289">
        <f t="shared" ref="E138:N138" ca="1" si="121">E136+E130</f>
        <v>0</v>
      </c>
      <c r="F138" s="289">
        <f t="shared" ca="1" si="121"/>
        <v>-919609.71486865683</v>
      </c>
      <c r="G138" s="289">
        <f t="shared" ca="1" si="121"/>
        <v>-5045528.2579373457</v>
      </c>
      <c r="H138" s="289">
        <f t="shared" ca="1" si="121"/>
        <v>4445761.8130905554</v>
      </c>
      <c r="I138" s="289">
        <f t="shared" ca="1" si="121"/>
        <v>2839437.1953264698</v>
      </c>
      <c r="J138" s="289">
        <f t="shared" ca="1" si="121"/>
        <v>143226163.96178818</v>
      </c>
      <c r="K138" s="289">
        <f t="shared" si="121"/>
        <v>0</v>
      </c>
      <c r="L138" s="289">
        <f t="shared" si="121"/>
        <v>0</v>
      </c>
      <c r="M138" s="289">
        <f t="shared" si="121"/>
        <v>0</v>
      </c>
      <c r="N138" s="290">
        <f t="shared" si="121"/>
        <v>0</v>
      </c>
      <c r="O138" s="290">
        <f t="shared" ref="O138:R138" si="122">O136+O130</f>
        <v>0</v>
      </c>
      <c r="P138" s="290">
        <f t="shared" si="122"/>
        <v>0</v>
      </c>
      <c r="Q138" s="290">
        <f t="shared" si="122"/>
        <v>0</v>
      </c>
      <c r="R138" s="290">
        <f t="shared" si="122"/>
        <v>0</v>
      </c>
    </row>
    <row r="139" spans="2:18">
      <c r="B139" s="125"/>
      <c r="C139" s="125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</row>
    <row r="140" spans="2:18" ht="18">
      <c r="B140" s="302" t="s">
        <v>16</v>
      </c>
      <c r="C140" s="280"/>
      <c r="D140" s="284"/>
      <c r="E140" s="284"/>
      <c r="F140" s="284"/>
      <c r="G140" s="284"/>
      <c r="H140" s="284"/>
      <c r="I140" s="284"/>
      <c r="J140" s="284"/>
      <c r="K140" s="284"/>
      <c r="L140" s="284"/>
      <c r="M140" s="284"/>
      <c r="N140" s="284"/>
      <c r="O140" s="284"/>
      <c r="P140" s="284"/>
      <c r="Q140" s="284"/>
      <c r="R140" s="284"/>
    </row>
    <row r="141" spans="2:18">
      <c r="B141" s="123" t="s">
        <v>215</v>
      </c>
      <c r="C141" s="147">
        <f>SUM(D141:N141)</f>
        <v>-25430473</v>
      </c>
      <c r="D141" s="147">
        <f>-IF(AND(D70&gt;Assumptions!$D$6,D70&lt;=Assumptions!$E$6),'Sources&amp;Uses'!$H$17/ROUNDUP(Assumptions!$E$2/12,0),0)</f>
        <v>0</v>
      </c>
      <c r="E141" s="147">
        <f>-IF(AND(E70&gt;Assumptions!$D$6,E70&lt;=Assumptions!$E$6),'Sources&amp;Uses'!$H$17/ROUNDUP(Assumptions!$E$2/12,0),0)</f>
        <v>-25430473</v>
      </c>
      <c r="F141" s="147">
        <f>-IF(AND(F70&gt;Assumptions!$D$6,F70&lt;=Assumptions!$E$6),'Sources&amp;Uses'!$H$17/ROUNDUP(Assumptions!$E$2/12,0),0)</f>
        <v>0</v>
      </c>
      <c r="G141" s="147">
        <f>-IF(AND(G70&gt;Assumptions!$D$6,G70&lt;=Assumptions!$E$6),'Sources&amp;Uses'!$H$17/ROUNDUP(Assumptions!$E$2/12,0),0)</f>
        <v>0</v>
      </c>
      <c r="H141" s="147">
        <f>-IF(AND(H70&gt;Assumptions!$D$6,H70&lt;=Assumptions!$E$6),'Sources&amp;Uses'!$H$17/ROUNDUP(Assumptions!$E$2/12,0),0)</f>
        <v>0</v>
      </c>
      <c r="I141" s="147">
        <f>-IF(AND(I70&gt;Assumptions!$D$6,I70&lt;=Assumptions!$E$6),'Sources&amp;Uses'!$H$17/ROUNDUP(Assumptions!$E$2/12,0),0)</f>
        <v>0</v>
      </c>
      <c r="J141" s="147">
        <f>-IF(AND(J70&gt;Assumptions!$D$6,J70&lt;=Assumptions!$E$6),'Sources&amp;Uses'!$H$17/ROUNDUP(Assumptions!$E$2/12,0),0)</f>
        <v>0</v>
      </c>
      <c r="K141" s="147">
        <f>-IF(AND(K70&gt;Assumptions!$D$6,K70&lt;=Assumptions!$E$6),'Sources&amp;Uses'!$H$17/ROUNDUP(Assumptions!$E$2/12,0),0)</f>
        <v>0</v>
      </c>
      <c r="L141" s="147">
        <f>-IF(AND(L70&gt;Assumptions!$D$6,L70&lt;=Assumptions!$E$6),'Sources&amp;Uses'!$H$17/ROUNDUP(Assumptions!$E$2/12,0),0)</f>
        <v>0</v>
      </c>
      <c r="M141" s="147">
        <f>-IF(AND(M70&gt;Assumptions!$D$6,M70&lt;=Assumptions!$E$6),'Sources&amp;Uses'!$H$17/ROUNDUP(Assumptions!$E$2/12,0),0)</f>
        <v>0</v>
      </c>
      <c r="N141" s="147">
        <f>-IF(AND(N70&gt;Assumptions!$D$6,N70&lt;=Assumptions!$E$6),'Sources&amp;Uses'!$H$17/ROUNDUP(Assumptions!$E$2/12,0),0)</f>
        <v>0</v>
      </c>
      <c r="O141" s="147">
        <f>-IF(AND(O70&gt;Assumptions!$D$6,O70&lt;=Assumptions!$E$6),'Sources&amp;Uses'!$H$17/ROUNDUP(Assumptions!$E$2/12,0),0)</f>
        <v>0</v>
      </c>
      <c r="P141" s="147">
        <f>-IF(AND(P70&gt;Assumptions!$D$6,P70&lt;=Assumptions!$E$6),'Sources&amp;Uses'!$H$17/ROUNDUP(Assumptions!$E$2/12,0),0)</f>
        <v>0</v>
      </c>
      <c r="Q141" s="147">
        <f>-IF(AND(Q70&gt;Assumptions!$D$6,Q70&lt;=Assumptions!$E$6),'Sources&amp;Uses'!$H$17/ROUNDUP(Assumptions!$E$2/12,0),0)</f>
        <v>0</v>
      </c>
      <c r="R141" s="147">
        <f>-IF(AND(R70&gt;Assumptions!$D$6,R70&lt;=Assumptions!$E$6),'Sources&amp;Uses'!$H$17/ROUNDUP(Assumptions!$E$2/12,0),0)</f>
        <v>0</v>
      </c>
    </row>
    <row r="142" spans="2:18">
      <c r="B142" s="123" t="s">
        <v>66</v>
      </c>
      <c r="C142" s="147">
        <f t="shared" ref="C142:C148" ca="1" si="123">SUM(D142:N142)</f>
        <v>-6202313.3740976304</v>
      </c>
      <c r="D142" s="147">
        <f>-IF(AND(D$70&gt;Assumptions!$E$6,D$70&lt;=Assumptions!$F$6),'Sources&amp;Uses'!$H$18/ROUNDUP(Assumptions!$F$2/12,0),0)</f>
        <v>0</v>
      </c>
      <c r="E142" s="147">
        <f>-IF(AND(E$70&gt;Assumptions!$E$6,E$70&lt;=Assumptions!$F$6),'Sources&amp;Uses'!$H$18/ROUNDUP(Assumptions!$F$2/12,0),0)</f>
        <v>0</v>
      </c>
      <c r="F142" s="147">
        <f ca="1">-IF(AND(F$70&gt;Assumptions!$E$6,F$70&lt;=Assumptions!$F$6),'Sources&amp;Uses'!$H$18/ROUNDUP(Assumptions!$F$2/12,0),0)</f>
        <v>-2067437.7913658768</v>
      </c>
      <c r="G142" s="147">
        <f ca="1">-IF(AND(G$70&gt;Assumptions!$E$6,G$70&lt;=Assumptions!$F$6),'Sources&amp;Uses'!$H$18/ROUNDUP(Assumptions!$F$2/12,0),0)</f>
        <v>-2067437.7913658768</v>
      </c>
      <c r="H142" s="147">
        <f ca="1">-IF(AND(H$70&gt;Assumptions!$E$6,H$70&lt;=Assumptions!$F$6),'Sources&amp;Uses'!$H$18/ROUNDUP(Assumptions!$F$2/12,0),0)</f>
        <v>-2067437.7913658768</v>
      </c>
      <c r="I142" s="147">
        <f>-IF(AND(I$70&gt;Assumptions!$E$6,I$70&lt;=Assumptions!$F$6),'Sources&amp;Uses'!$H$18/ROUNDUP(Assumptions!$F$2/12,0),0)</f>
        <v>0</v>
      </c>
      <c r="J142" s="147">
        <f>-IF(AND(J$70&gt;Assumptions!$E$6,J$70&lt;=Assumptions!$F$6),'Sources&amp;Uses'!$H$18/ROUNDUP(Assumptions!$F$2/12,0),0)</f>
        <v>0</v>
      </c>
      <c r="K142" s="147">
        <f>-IF(AND(K$70&gt;Assumptions!$E$6,K$70&lt;=Assumptions!$F$6),'Sources&amp;Uses'!$H$18/ROUNDUP(Assumptions!$F$2/12,0),0)</f>
        <v>0</v>
      </c>
      <c r="L142" s="147">
        <f>-IF(AND(L$70&gt;Assumptions!$E$6,L$70&lt;=Assumptions!$F$6),'Sources&amp;Uses'!$H$18/ROUNDUP(Assumptions!$F$2/12,0),0)</f>
        <v>0</v>
      </c>
      <c r="M142" s="147">
        <f>-IF(AND(M$70&gt;Assumptions!$E$6,M$70&lt;=Assumptions!$F$6),'Sources&amp;Uses'!$H$18/ROUNDUP(Assumptions!$F$2/12,0),0)</f>
        <v>0</v>
      </c>
      <c r="N142" s="147">
        <f>-IF(AND(N$70&gt;Assumptions!$E$6,N$70&lt;=Assumptions!$F$6),'Sources&amp;Uses'!$H$18/ROUNDUP(Assumptions!$F$2/12,0),0)</f>
        <v>0</v>
      </c>
      <c r="O142" s="147">
        <f>-IF(AND(O$70&gt;Assumptions!$E$6,O$70&lt;=Assumptions!$F$6),'Sources&amp;Uses'!$H$18/ROUNDUP(Assumptions!$F$2/12,0),0)</f>
        <v>0</v>
      </c>
      <c r="P142" s="147">
        <f>-IF(AND(P$70&gt;Assumptions!$E$6,P$70&lt;=Assumptions!$F$6),'Sources&amp;Uses'!$H$18/ROUNDUP(Assumptions!$F$2/12,0),0)</f>
        <v>0</v>
      </c>
      <c r="Q142" s="147">
        <f>-IF(AND(Q$70&gt;Assumptions!$E$6,Q$70&lt;=Assumptions!$F$6),'Sources&amp;Uses'!$H$18/ROUNDUP(Assumptions!$F$2/12,0),0)</f>
        <v>0</v>
      </c>
      <c r="R142" s="147">
        <f>-IF(AND(R$70&gt;Assumptions!$E$6,R$70&lt;=Assumptions!$F$6),'Sources&amp;Uses'!$H$18/ROUNDUP(Assumptions!$F$2/12,0),0)</f>
        <v>0</v>
      </c>
    </row>
    <row r="143" spans="2:18">
      <c r="B143" s="123" t="s">
        <v>17</v>
      </c>
      <c r="C143" s="147">
        <f ca="1">SUM(D143:N143)</f>
        <v>-213461281.96719182</v>
      </c>
      <c r="D143" s="147">
        <f>-IF(AND(D$70&gt;Assumptions!$E$6,D$70&lt;=Assumptions!$F$6),'Sources&amp;Uses'!$H$19/ROUNDUP(Assumptions!$F$2/12,0),0)</f>
        <v>0</v>
      </c>
      <c r="E143" s="147">
        <f>-IF(AND(E$70&gt;Assumptions!$E$6,E$70&lt;=Assumptions!$F$6),'Sources&amp;Uses'!$H$19/ROUNDUP(Assumptions!$F$2/12,0),0)</f>
        <v>0</v>
      </c>
      <c r="F143" s="147">
        <f ca="1">-IF(AND(F$70&gt;Assumptions!$E$6,F$70&lt;=Assumptions!$F$6),'Sources&amp;Uses'!$H$19/ROUNDUP(Assumptions!$F$2/12,0),0)</f>
        <v>-71153760.655730605</v>
      </c>
      <c r="G143" s="147">
        <f ca="1">-IF(AND(G$70&gt;Assumptions!$E$6,G$70&lt;=Assumptions!$F$6),'Sources&amp;Uses'!$H$19/ROUNDUP(Assumptions!$F$2/12,0),0)</f>
        <v>-71153760.655730605</v>
      </c>
      <c r="H143" s="147">
        <f ca="1">-IF(AND(H$70&gt;Assumptions!$E$6,H$70&lt;=Assumptions!$F$6),'Sources&amp;Uses'!$H$19/ROUNDUP(Assumptions!$F$2/12,0),0)</f>
        <v>-71153760.655730605</v>
      </c>
      <c r="I143" s="147">
        <f>-IF(AND(I$70&gt;Assumptions!$E$6,I$70&lt;=Assumptions!$F$6),'Sources&amp;Uses'!$H$19/ROUNDUP(Assumptions!$F$2/12,0),0)</f>
        <v>0</v>
      </c>
      <c r="J143" s="147">
        <f>-IF(AND(J$70&gt;Assumptions!$E$6,J$70&lt;=Assumptions!$F$6),'Sources&amp;Uses'!$H$19/ROUNDUP(Assumptions!$F$2/12,0),0)</f>
        <v>0</v>
      </c>
      <c r="K143" s="147">
        <f>-IF(AND(K$70&gt;Assumptions!$E$6,K$70&lt;=Assumptions!$F$6),'Sources&amp;Uses'!$H$19/ROUNDUP(Assumptions!$F$2/12,0),0)</f>
        <v>0</v>
      </c>
      <c r="L143" s="147">
        <f>-IF(AND(L$70&gt;Assumptions!$E$6,L$70&lt;=Assumptions!$F$6),'Sources&amp;Uses'!$H$19/ROUNDUP(Assumptions!$F$2/12,0),0)</f>
        <v>0</v>
      </c>
      <c r="M143" s="147">
        <f>-IF(AND(M$70&gt;Assumptions!$E$6,M$70&lt;=Assumptions!$F$6),'Sources&amp;Uses'!$H$19/ROUNDUP(Assumptions!$F$2/12,0),0)</f>
        <v>0</v>
      </c>
      <c r="N143" s="147">
        <f>-IF(AND(N$70&gt;Assumptions!$E$6,N$70&lt;=Assumptions!$F$6),'Sources&amp;Uses'!$H$19/ROUNDUP(Assumptions!$F$2/12,0),0)</f>
        <v>0</v>
      </c>
      <c r="O143" s="147">
        <f>-IF(AND(O$70&gt;Assumptions!$E$6,O$70&lt;=Assumptions!$F$6),'Sources&amp;Uses'!$H$19/ROUNDUP(Assumptions!$F$2/12,0),0)</f>
        <v>0</v>
      </c>
      <c r="P143" s="147">
        <f>-IF(AND(P$70&gt;Assumptions!$E$6,P$70&lt;=Assumptions!$F$6),'Sources&amp;Uses'!$H$19/ROUNDUP(Assumptions!$F$2/12,0),0)</f>
        <v>0</v>
      </c>
      <c r="Q143" s="147">
        <f>-IF(AND(Q$70&gt;Assumptions!$E$6,Q$70&lt;=Assumptions!$F$6),'Sources&amp;Uses'!$H$19/ROUNDUP(Assumptions!$F$2/12,0),0)</f>
        <v>0</v>
      </c>
      <c r="R143" s="147">
        <f>-IF(AND(R$70&gt;Assumptions!$E$6,R$70&lt;=Assumptions!$F$6),'Sources&amp;Uses'!$H$19/ROUNDUP(Assumptions!$F$2/12,0),0)</f>
        <v>0</v>
      </c>
    </row>
    <row r="144" spans="2:18">
      <c r="B144" s="123" t="s">
        <v>19</v>
      </c>
      <c r="C144" s="147">
        <f t="shared" ca="1" si="123"/>
        <v>-54915898.835322365</v>
      </c>
      <c r="D144" s="147">
        <f>-IF(AND(D$70&gt;Assumptions!$E$6,D$70&lt;=Assumptions!$F$6),'Sources&amp;Uses'!$H$20/ROUNDUP(Assumptions!$F$2/12,0),0)</f>
        <v>0</v>
      </c>
      <c r="E144" s="147">
        <f>-IF(AND(E$70&gt;Assumptions!$E$6,E$70&lt;=Assumptions!$F$6),'Sources&amp;Uses'!$H$20/ROUNDUP(Assumptions!$F$2/12,0),0)</f>
        <v>0</v>
      </c>
      <c r="F144" s="147">
        <f ca="1">-IF(AND(F$70&gt;Assumptions!$E$6,F$70&lt;=Assumptions!$F$6),'Sources&amp;Uses'!$H$20/ROUNDUP(Assumptions!$F$2/12,0),0)</f>
        <v>-18305299.61177412</v>
      </c>
      <c r="G144" s="147">
        <f ca="1">-IF(AND(G$70&gt;Assumptions!$E$6,G$70&lt;=Assumptions!$F$6),'Sources&amp;Uses'!$H$20/ROUNDUP(Assumptions!$F$2/12,0),0)</f>
        <v>-18305299.61177412</v>
      </c>
      <c r="H144" s="147">
        <f ca="1">-IF(AND(H$70&gt;Assumptions!$E$6,H$70&lt;=Assumptions!$F$6),'Sources&amp;Uses'!$H$20/ROUNDUP(Assumptions!$F$2/12,0),0)</f>
        <v>-18305299.61177412</v>
      </c>
      <c r="I144" s="147">
        <f>-IF(AND(I$70&gt;Assumptions!$E$6,I$70&lt;=Assumptions!$F$6),'Sources&amp;Uses'!$H$20/ROUNDUP(Assumptions!$F$2/12,0),0)</f>
        <v>0</v>
      </c>
      <c r="J144" s="147">
        <f>-IF(AND(J$70&gt;Assumptions!$E$6,J$70&lt;=Assumptions!$F$6),'Sources&amp;Uses'!$H$20/ROUNDUP(Assumptions!$F$2/12,0),0)</f>
        <v>0</v>
      </c>
      <c r="K144" s="147">
        <f>-IF(AND(K$70&gt;Assumptions!$E$6,K$70&lt;=Assumptions!$F$6),'Sources&amp;Uses'!$H$20/ROUNDUP(Assumptions!$F$2/12,0),0)</f>
        <v>0</v>
      </c>
      <c r="L144" s="147">
        <f>-IF(AND(L$70&gt;Assumptions!$E$6,L$70&lt;=Assumptions!$F$6),'Sources&amp;Uses'!$H$20/ROUNDUP(Assumptions!$F$2/12,0),0)</f>
        <v>0</v>
      </c>
      <c r="M144" s="147">
        <f>-IF(AND(M$70&gt;Assumptions!$E$6,M$70&lt;=Assumptions!$F$6),'Sources&amp;Uses'!$H$20/ROUNDUP(Assumptions!$F$2/12,0),0)</f>
        <v>0</v>
      </c>
      <c r="N144" s="147">
        <f>-IF(AND(N$70&gt;Assumptions!$E$6,N$70&lt;=Assumptions!$F$6),'Sources&amp;Uses'!$H$20/ROUNDUP(Assumptions!$F$2/12,0),0)</f>
        <v>0</v>
      </c>
      <c r="O144" s="147">
        <f>-IF(AND(O$70&gt;Assumptions!$E$6,O$70&lt;=Assumptions!$F$6),'Sources&amp;Uses'!$H$20/ROUNDUP(Assumptions!$F$2/12,0),0)</f>
        <v>0</v>
      </c>
      <c r="P144" s="147">
        <f>-IF(AND(P$70&gt;Assumptions!$E$6,P$70&lt;=Assumptions!$F$6),'Sources&amp;Uses'!$H$20/ROUNDUP(Assumptions!$F$2/12,0),0)</f>
        <v>0</v>
      </c>
      <c r="Q144" s="147">
        <f>-IF(AND(Q$70&gt;Assumptions!$E$6,Q$70&lt;=Assumptions!$F$6),'Sources&amp;Uses'!$H$20/ROUNDUP(Assumptions!$F$2/12,0),0)</f>
        <v>0</v>
      </c>
      <c r="R144" s="147">
        <f>-IF(AND(R$70&gt;Assumptions!$E$6,R$70&lt;=Assumptions!$F$6),'Sources&amp;Uses'!$H$20/ROUNDUP(Assumptions!$F$2/12,0),0)</f>
        <v>0</v>
      </c>
    </row>
    <row r="145" spans="2:18">
      <c r="B145" s="123" t="s">
        <v>33</v>
      </c>
      <c r="C145" s="147">
        <f t="shared" ca="1" si="123"/>
        <v>-18749872.951355934</v>
      </c>
      <c r="D145" s="147">
        <f>-IF(AND(D$70&gt;Assumptions!$E$6,D$70&lt;=Assumptions!$F$6),'Sources&amp;Uses'!$H$21/ROUNDUP(Assumptions!$F$2/12,0),0)</f>
        <v>0</v>
      </c>
      <c r="E145" s="147">
        <f>-IF(AND(E$70&gt;Assumptions!$E$6,E$70&lt;=Assumptions!$F$6),'Sources&amp;Uses'!$H$21/ROUNDUP(Assumptions!$F$2/12,0),0)</f>
        <v>0</v>
      </c>
      <c r="F145" s="147">
        <f ca="1">-IF(AND(F$70&gt;Assumptions!$E$6,F$70&lt;=Assumptions!$F$6),'Sources&amp;Uses'!$H$21/ROUNDUP(Assumptions!$F$2/12,0),0)</f>
        <v>-6249957.6504519777</v>
      </c>
      <c r="G145" s="147">
        <f ca="1">-IF(AND(G$70&gt;Assumptions!$E$6,G$70&lt;=Assumptions!$F$6),'Sources&amp;Uses'!$H$21/ROUNDUP(Assumptions!$F$2/12,0),0)</f>
        <v>-6249957.6504519777</v>
      </c>
      <c r="H145" s="147">
        <f ca="1">-IF(AND(H$70&gt;Assumptions!$E$6,H$70&lt;=Assumptions!$F$6),'Sources&amp;Uses'!$H$21/ROUNDUP(Assumptions!$F$2/12,0),0)</f>
        <v>-6249957.6504519777</v>
      </c>
      <c r="I145" s="147">
        <f>-IF(AND(I$70&gt;Assumptions!$E$6,I$70&lt;=Assumptions!$F$6),'Sources&amp;Uses'!$H$21/ROUNDUP(Assumptions!$F$2/12,0),0)</f>
        <v>0</v>
      </c>
      <c r="J145" s="147">
        <f>-IF(AND(J$70&gt;Assumptions!$E$6,J$70&lt;=Assumptions!$F$6),'Sources&amp;Uses'!$H$21/ROUNDUP(Assumptions!$F$2/12,0),0)</f>
        <v>0</v>
      </c>
      <c r="K145" s="147">
        <f>-IF(AND(K$70&gt;Assumptions!$E$6,K$70&lt;=Assumptions!$F$6),'Sources&amp;Uses'!$H$21/ROUNDUP(Assumptions!$F$2/12,0),0)</f>
        <v>0</v>
      </c>
      <c r="L145" s="147">
        <f>-IF(AND(L$70&gt;Assumptions!$E$6,L$70&lt;=Assumptions!$F$6),'Sources&amp;Uses'!$H$21/ROUNDUP(Assumptions!$F$2/12,0),0)</f>
        <v>0</v>
      </c>
      <c r="M145" s="147">
        <f>-IF(AND(M$70&gt;Assumptions!$E$6,M$70&lt;=Assumptions!$F$6),'Sources&amp;Uses'!$H$21/ROUNDUP(Assumptions!$F$2/12,0),0)</f>
        <v>0</v>
      </c>
      <c r="N145" s="147">
        <f>-IF(AND(N$70&gt;Assumptions!$E$6,N$70&lt;=Assumptions!$F$6),'Sources&amp;Uses'!$H$21/ROUNDUP(Assumptions!$F$2/12,0),0)</f>
        <v>0</v>
      </c>
      <c r="O145" s="147">
        <f>-IF(AND(O$70&gt;Assumptions!$E$6,O$70&lt;=Assumptions!$F$6),'Sources&amp;Uses'!$H$21/ROUNDUP(Assumptions!$F$2/12,0),0)</f>
        <v>0</v>
      </c>
      <c r="P145" s="147">
        <f>-IF(AND(P$70&gt;Assumptions!$E$6,P$70&lt;=Assumptions!$F$6),'Sources&amp;Uses'!$H$21/ROUNDUP(Assumptions!$F$2/12,0),0)</f>
        <v>0</v>
      </c>
      <c r="Q145" s="147">
        <f>-IF(AND(Q$70&gt;Assumptions!$E$6,Q$70&lt;=Assumptions!$F$6),'Sources&amp;Uses'!$H$21/ROUNDUP(Assumptions!$F$2/12,0),0)</f>
        <v>0</v>
      </c>
      <c r="R145" s="147">
        <f>-IF(AND(R$70&gt;Assumptions!$E$6,R$70&lt;=Assumptions!$F$6),'Sources&amp;Uses'!$H$21/ROUNDUP(Assumptions!$F$2/12,0),0)</f>
        <v>0</v>
      </c>
    </row>
    <row r="146" spans="2:18">
      <c r="B146" s="123" t="s">
        <v>22</v>
      </c>
      <c r="C146" s="147">
        <f t="shared" si="123"/>
        <v>-333333.33333333331</v>
      </c>
      <c r="D146" s="147">
        <f>-IF(AND(D$70&gt;Assumptions!$E$6,D$70&lt;=Assumptions!$F$6),'Sources&amp;Uses'!$H$22/ROUNDUP(Assumptions!$F$2/12,0),0)</f>
        <v>0</v>
      </c>
      <c r="E146" s="147">
        <f>-IF(AND(E$70&gt;Assumptions!$E$6,E$70&lt;=Assumptions!$F$6),'Sources&amp;Uses'!$H$22/ROUNDUP(Assumptions!$F$2/12,0),0)</f>
        <v>0</v>
      </c>
      <c r="F146" s="147">
        <f>-IF(AND(F$70&gt;Assumptions!$E$6,F$70&lt;=Assumptions!$F$6),'Sources&amp;Uses'!$H$22/ROUNDUP(Assumptions!$F$2/12,0),0)</f>
        <v>-111111.11111111111</v>
      </c>
      <c r="G146" s="147">
        <f>-IF(AND(G$70&gt;Assumptions!$E$6,G$70&lt;=Assumptions!$F$6),'Sources&amp;Uses'!$H$22/ROUNDUP(Assumptions!$F$2/12,0),0)</f>
        <v>-111111.11111111111</v>
      </c>
      <c r="H146" s="147">
        <f>-IF(AND(H$70&gt;Assumptions!$E$6,H$70&lt;=Assumptions!$F$6),'Sources&amp;Uses'!$H$22/ROUNDUP(Assumptions!$F$2/12,0),0)</f>
        <v>-111111.11111111111</v>
      </c>
      <c r="I146" s="147">
        <f>-IF(AND(I$70&gt;Assumptions!$E$6,I$70&lt;=Assumptions!$F$6),'Sources&amp;Uses'!$H$22/ROUNDUP(Assumptions!$F$2/12,0),0)</f>
        <v>0</v>
      </c>
      <c r="J146" s="147">
        <f>-IF(AND(J$70&gt;Assumptions!$E$6,J$70&lt;=Assumptions!$F$6),'Sources&amp;Uses'!$H$22/ROUNDUP(Assumptions!$F$2/12,0),0)</f>
        <v>0</v>
      </c>
      <c r="K146" s="147">
        <f>-IF(AND(K$70&gt;Assumptions!$E$6,K$70&lt;=Assumptions!$F$6),'Sources&amp;Uses'!$H$22/ROUNDUP(Assumptions!$F$2/12,0),0)</f>
        <v>0</v>
      </c>
      <c r="L146" s="147">
        <f>-IF(AND(L$70&gt;Assumptions!$E$6,L$70&lt;=Assumptions!$F$6),'Sources&amp;Uses'!$H$22/ROUNDUP(Assumptions!$F$2/12,0),0)</f>
        <v>0</v>
      </c>
      <c r="M146" s="147">
        <f>-IF(AND(M$70&gt;Assumptions!$E$6,M$70&lt;=Assumptions!$F$6),'Sources&amp;Uses'!$H$22/ROUNDUP(Assumptions!$F$2/12,0),0)</f>
        <v>0</v>
      </c>
      <c r="N146" s="147">
        <f>-IF(AND(N$70&gt;Assumptions!$E$6,N$70&lt;=Assumptions!$F$6),'Sources&amp;Uses'!$H$22/ROUNDUP(Assumptions!$F$2/12,0),0)</f>
        <v>0</v>
      </c>
      <c r="O146" s="147">
        <f>-IF(AND(O$70&gt;Assumptions!$E$6,O$70&lt;=Assumptions!$F$6),'Sources&amp;Uses'!$H$22/ROUNDUP(Assumptions!$F$2/12,0),0)</f>
        <v>0</v>
      </c>
      <c r="P146" s="147">
        <f>-IF(AND(P$70&gt;Assumptions!$E$6,P$70&lt;=Assumptions!$F$6),'Sources&amp;Uses'!$H$22/ROUNDUP(Assumptions!$F$2/12,0),0)</f>
        <v>0</v>
      </c>
      <c r="Q146" s="147">
        <f>-IF(AND(Q$70&gt;Assumptions!$E$6,Q$70&lt;=Assumptions!$F$6),'Sources&amp;Uses'!$H$22/ROUNDUP(Assumptions!$F$2/12,0),0)</f>
        <v>0</v>
      </c>
      <c r="R146" s="147">
        <f>-IF(AND(R$70&gt;Assumptions!$E$6,R$70&lt;=Assumptions!$F$6),'Sources&amp;Uses'!$H$22/ROUNDUP(Assumptions!$F$2/12,0),0)</f>
        <v>0</v>
      </c>
    </row>
    <row r="147" spans="2:18">
      <c r="B147" s="123" t="s">
        <v>238</v>
      </c>
      <c r="C147" s="147">
        <f t="shared" ca="1" si="123"/>
        <v>-8247384.825298354</v>
      </c>
      <c r="D147" s="147">
        <f>-IF(AND(D$70&gt;Assumptions!$E$6,D$70&lt;=Assumptions!$F$6),'Sources&amp;Uses'!$H$23/ROUNDUP(Assumptions!$F$2/12,0),0)</f>
        <v>0</v>
      </c>
      <c r="E147" s="147">
        <f>-IF(AND(E$70&gt;Assumptions!$E$6,E$70&lt;=Assumptions!$F$6),'Sources&amp;Uses'!$H$23/ROUNDUP(Assumptions!$F$2/12,0),0)</f>
        <v>0</v>
      </c>
      <c r="F147" s="147">
        <f ca="1">-IF(AND(F$70&gt;Assumptions!$E$6,F$70&lt;=Assumptions!$F$6),'Sources&amp;Uses'!$H$23/ROUNDUP(Assumptions!$F$2/12,0),0)</f>
        <v>-2749128.2750994512</v>
      </c>
      <c r="G147" s="147">
        <f ca="1">-IF(AND(G$70&gt;Assumptions!$E$6,G$70&lt;=Assumptions!$F$6),'Sources&amp;Uses'!$H$23/ROUNDUP(Assumptions!$F$2/12,0),0)</f>
        <v>-2749128.2750994512</v>
      </c>
      <c r="H147" s="147">
        <f ca="1">-IF(AND(H$70&gt;Assumptions!$E$6,H$70&lt;=Assumptions!$F$6),'Sources&amp;Uses'!$H$23/ROUNDUP(Assumptions!$F$2/12,0),0)</f>
        <v>-2749128.2750994512</v>
      </c>
      <c r="I147" s="147">
        <f>-IF(AND(I$70&gt;Assumptions!$E$6,I$70&lt;=Assumptions!$F$6),'Sources&amp;Uses'!$H$23/ROUNDUP(Assumptions!$F$2/12,0),0)</f>
        <v>0</v>
      </c>
      <c r="J147" s="147">
        <f>-IF(AND(J$70&gt;Assumptions!$E$6,J$70&lt;=Assumptions!$F$6),'Sources&amp;Uses'!$H$23/ROUNDUP(Assumptions!$F$2/12,0),0)</f>
        <v>0</v>
      </c>
      <c r="K147" s="147">
        <f>-IF(AND(K$70&gt;Assumptions!$E$6,K$70&lt;=Assumptions!$F$6),'Sources&amp;Uses'!$H$23/ROUNDUP(Assumptions!$F$2/12,0),0)</f>
        <v>0</v>
      </c>
      <c r="L147" s="147">
        <f>-IF(AND(L$70&gt;Assumptions!$E$6,L$70&lt;=Assumptions!$F$6),'Sources&amp;Uses'!$H$23/ROUNDUP(Assumptions!$F$2/12,0),0)</f>
        <v>0</v>
      </c>
      <c r="M147" s="147">
        <f>-IF(AND(M$70&gt;Assumptions!$E$6,M$70&lt;=Assumptions!$F$6),'Sources&amp;Uses'!$H$23/ROUNDUP(Assumptions!$F$2/12,0),0)</f>
        <v>0</v>
      </c>
      <c r="N147" s="147">
        <f>-IF(AND(N$70&gt;Assumptions!$E$6,N$70&lt;=Assumptions!$F$6),'Sources&amp;Uses'!$H$23/ROUNDUP(Assumptions!$F$2/12,0),0)</f>
        <v>0</v>
      </c>
      <c r="O147" s="147">
        <f>-IF(AND(O$70&gt;Assumptions!$E$6,O$70&lt;=Assumptions!$F$6),'Sources&amp;Uses'!$H$23/ROUNDUP(Assumptions!$F$2/12,0),0)</f>
        <v>0</v>
      </c>
      <c r="P147" s="147">
        <f>-IF(AND(P$70&gt;Assumptions!$E$6,P$70&lt;=Assumptions!$F$6),'Sources&amp;Uses'!$H$23/ROUNDUP(Assumptions!$F$2/12,0),0)</f>
        <v>0</v>
      </c>
      <c r="Q147" s="147">
        <f>-IF(AND(Q$70&gt;Assumptions!$E$6,Q$70&lt;=Assumptions!$F$6),'Sources&amp;Uses'!$H$23/ROUNDUP(Assumptions!$F$2/12,0),0)</f>
        <v>0</v>
      </c>
      <c r="R147" s="147">
        <f>-IF(AND(R$70&gt;Assumptions!$E$6,R$70&lt;=Assumptions!$F$6),'Sources&amp;Uses'!$H$23/ROUNDUP(Assumptions!$F$2/12,0),0)</f>
        <v>0</v>
      </c>
    </row>
    <row r="148" spans="2:18">
      <c r="B148" s="125" t="s">
        <v>58</v>
      </c>
      <c r="C148" s="147">
        <f t="shared" ca="1" si="123"/>
        <v>-327340558.2865994</v>
      </c>
      <c r="D148" s="147">
        <f>SUM(D141:D147)</f>
        <v>0</v>
      </c>
      <c r="E148" s="147">
        <f t="shared" ref="E148:N148" si="124">SUM(E141:E147)</f>
        <v>-25430473</v>
      </c>
      <c r="F148" s="147">
        <f t="shared" ca="1" si="124"/>
        <v>-100636695.09553313</v>
      </c>
      <c r="G148" s="147">
        <f t="shared" ca="1" si="124"/>
        <v>-100636695.09553313</v>
      </c>
      <c r="H148" s="147">
        <f t="shared" ca="1" si="124"/>
        <v>-100636695.09553313</v>
      </c>
      <c r="I148" s="147">
        <f t="shared" si="124"/>
        <v>0</v>
      </c>
      <c r="J148" s="147">
        <f t="shared" si="124"/>
        <v>0</v>
      </c>
      <c r="K148" s="147">
        <f t="shared" si="124"/>
        <v>0</v>
      </c>
      <c r="L148" s="147">
        <f t="shared" si="124"/>
        <v>0</v>
      </c>
      <c r="M148" s="147">
        <f t="shared" si="124"/>
        <v>0</v>
      </c>
      <c r="N148" s="147">
        <f t="shared" si="124"/>
        <v>0</v>
      </c>
      <c r="O148" s="147">
        <f t="shared" ref="O148" si="125">SUM(O141:O147)</f>
        <v>0</v>
      </c>
      <c r="P148" s="147">
        <f t="shared" ref="P148" si="126">SUM(P141:P147)</f>
        <v>0</v>
      </c>
      <c r="Q148" s="147">
        <f t="shared" ref="Q148" si="127">SUM(Q141:Q147)</f>
        <v>0</v>
      </c>
      <c r="R148" s="147">
        <f t="shared" ref="R148" si="128">SUM(R141:R147)</f>
        <v>0</v>
      </c>
    </row>
    <row r="149" spans="2:18">
      <c r="B149" s="125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</row>
    <row r="150" spans="2:18" ht="18">
      <c r="B150" s="302" t="s">
        <v>439</v>
      </c>
      <c r="C150" s="280"/>
      <c r="D150" s="285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86"/>
      <c r="R150" s="286"/>
    </row>
    <row r="151" spans="2:18">
      <c r="B151" s="123" t="str">
        <f>'Sources&amp;Uses'!$C$3</f>
        <v>Equity</v>
      </c>
      <c r="C151" s="147">
        <f ca="1">SUM(D151:N151)</f>
        <v>45298657.54457438</v>
      </c>
      <c r="D151" s="147">
        <f ca="1">MIN('Sources&amp;Uses'!$H$3,-'Phase III Pro Forma'!D148)</f>
        <v>0</v>
      </c>
      <c r="E151" s="147">
        <f ca="1">MIN('Sources&amp;Uses'!$H$3-SUM($D$151:D151),-'Phase III Pro Forma'!E148)</f>
        <v>25430473</v>
      </c>
      <c r="F151" s="147">
        <f ca="1">MIN('Sources&amp;Uses'!$H$3-SUM($D$151:E151),-'Phase III Pro Forma'!F148)</f>
        <v>19868184.54457438</v>
      </c>
      <c r="G151" s="147">
        <f ca="1">MIN('Sources&amp;Uses'!$H$3-SUM($D$151:F151),-'Phase III Pro Forma'!G148)</f>
        <v>0</v>
      </c>
      <c r="H151" s="147">
        <f ca="1">MIN('Sources&amp;Uses'!$H$3-SUM($D$151:G151),-'Phase III Pro Forma'!H148)</f>
        <v>0</v>
      </c>
      <c r="I151" s="147">
        <f ca="1">MIN('Sources&amp;Uses'!$H$3-SUM($D$151:H151),-'Phase III Pro Forma'!I148)</f>
        <v>0</v>
      </c>
      <c r="J151" s="147">
        <f ca="1">MIN('Sources&amp;Uses'!$H$3-SUM($D$151:I151),-'Phase III Pro Forma'!J148)</f>
        <v>0</v>
      </c>
      <c r="K151" s="147">
        <f ca="1">MIN('Sources&amp;Uses'!$H$3-SUM($D$151:J151),-'Phase III Pro Forma'!K148)</f>
        <v>0</v>
      </c>
      <c r="L151" s="147">
        <f ca="1">MIN('Sources&amp;Uses'!$H$3-SUM($D$151:K151),-'Phase III Pro Forma'!L148)</f>
        <v>0</v>
      </c>
      <c r="M151" s="147">
        <f ca="1">MIN('Sources&amp;Uses'!$H$3-SUM($D$151:L151),-'Phase III Pro Forma'!M148)</f>
        <v>0</v>
      </c>
      <c r="N151" s="147">
        <f ca="1">MIN('Sources&amp;Uses'!$H$3-SUM($D$151:M151),-'Phase III Pro Forma'!N148)</f>
        <v>0</v>
      </c>
      <c r="O151" s="147">
        <f ca="1">MIN('Sources&amp;Uses'!$H$3-SUM($D$151:N151),-'Phase III Pro Forma'!O148)</f>
        <v>0</v>
      </c>
      <c r="P151" s="147">
        <f ca="1">MIN('Sources&amp;Uses'!$H$3-SUM($D$151:O151),-'Phase III Pro Forma'!P148)</f>
        <v>0</v>
      </c>
      <c r="Q151" s="147">
        <f ca="1">MIN('Sources&amp;Uses'!$H$3-SUM($D$151:P151),-'Phase III Pro Forma'!Q148)</f>
        <v>0</v>
      </c>
      <c r="R151" s="147">
        <f ca="1">MIN('Sources&amp;Uses'!$H$3-SUM($D$151:Q151),-'Phase III Pro Forma'!R148)</f>
        <v>0</v>
      </c>
    </row>
    <row r="152" spans="2:18">
      <c r="B152" s="123" t="str">
        <f>'Sources&amp;Uses'!$C$4</f>
        <v>PPP - City of Oakland/Alameda County</v>
      </c>
      <c r="C152" s="147">
        <f ca="1">SUM(D152:N152)</f>
        <v>6202313.3740976304</v>
      </c>
      <c r="D152" s="147">
        <f ca="1">MIN('Sources&amp;Uses'!$H$4,-'Phase III Pro Forma'!D$148-SUM('Phase III Pro Forma'!D$151:'Phase III Pro Forma'!D151))</f>
        <v>0</v>
      </c>
      <c r="E152" s="147">
        <f ca="1">MIN('Sources&amp;Uses'!$H$4-SUM($D$152:D$152),-'Phase III Pro Forma'!E$148-SUM(E$151:E151))</f>
        <v>0</v>
      </c>
      <c r="F152" s="147">
        <f ca="1">MIN('Sources&amp;Uses'!$H$4-SUM($D$152:E$152),-'Phase III Pro Forma'!F$148-SUM(F$151:F151))</f>
        <v>6202313.3740976304</v>
      </c>
      <c r="G152" s="147">
        <f ca="1">MIN('Sources&amp;Uses'!$H$4-SUM($D$152:F$152),-'Phase III Pro Forma'!G$148-SUM(G$151:G151))</f>
        <v>0</v>
      </c>
      <c r="H152" s="147">
        <f ca="1">MIN('Sources&amp;Uses'!$H$4-SUM($D$152:G$152),-'Phase III Pro Forma'!H$148-SUM(H$151:H151))</f>
        <v>0</v>
      </c>
      <c r="I152" s="147">
        <f ca="1">MIN('Sources&amp;Uses'!$H$4-SUM($D$152:H$152),-'Phase III Pro Forma'!I$148-SUM(I$151:I151))</f>
        <v>0</v>
      </c>
      <c r="J152" s="147">
        <f ca="1">MIN('Sources&amp;Uses'!$H$4-SUM($D$152:I$152),-'Phase III Pro Forma'!J$148-SUM(J$151:J151))</f>
        <v>0</v>
      </c>
      <c r="K152" s="147">
        <f ca="1">MIN('Sources&amp;Uses'!$H$4-SUM($D$152:J$152),-'Phase III Pro Forma'!K$148-SUM(K$151:K151))</f>
        <v>0</v>
      </c>
      <c r="L152" s="147">
        <f ca="1">MIN('Sources&amp;Uses'!$H$4-SUM($D$152:K$152),-'Phase III Pro Forma'!L$148-SUM(L$151:L151))</f>
        <v>0</v>
      </c>
      <c r="M152" s="147">
        <f ca="1">MIN('Sources&amp;Uses'!$H$4-SUM($D$152:L$152),-'Phase III Pro Forma'!M$148-SUM(M$151:M151))</f>
        <v>0</v>
      </c>
      <c r="N152" s="147">
        <f ca="1">MIN('Sources&amp;Uses'!$H$4-SUM($D$152:M$152),-'Phase III Pro Forma'!N$148-SUM(N$151:N151))</f>
        <v>0</v>
      </c>
      <c r="O152" s="147">
        <f ca="1">MIN('Sources&amp;Uses'!$H$4-SUM($D$152:N$152),-'Phase III Pro Forma'!O$148-SUM(O$151:O151))</f>
        <v>0</v>
      </c>
      <c r="P152" s="147">
        <f ca="1">MIN('Sources&amp;Uses'!$H$4-SUM($D$152:O$152),-'Phase III Pro Forma'!P$148-SUM(P$151:P151))</f>
        <v>0</v>
      </c>
      <c r="Q152" s="147">
        <f ca="1">MIN('Sources&amp;Uses'!$H$4-SUM($D$152:P$152),-'Phase III Pro Forma'!Q$148-SUM(Q$151:Q151))</f>
        <v>0</v>
      </c>
      <c r="R152" s="147">
        <f ca="1">MIN('Sources&amp;Uses'!$H$4-SUM($D$152:Q$152),-'Phase III Pro Forma'!R$148-SUM(R$151:R151))</f>
        <v>0</v>
      </c>
    </row>
    <row r="153" spans="2:18">
      <c r="B153" s="123" t="str">
        <f>'Sources&amp;Uses'!$C$5</f>
        <v>PPP - Private Partners</v>
      </c>
      <c r="C153" s="147">
        <f ca="1">SUM(D153:N153)</f>
        <v>1304183.3335874998</v>
      </c>
      <c r="D153" s="147">
        <f ca="1">MIN('Sources&amp;Uses'!$H$5,-'Phase III Pro Forma'!D$148-SUM('Phase III Pro Forma'!D$151:'Phase III Pro Forma'!D152))</f>
        <v>0</v>
      </c>
      <c r="E153" s="147">
        <f ca="1">MIN('Sources&amp;Uses'!$H$5-SUM($D$153:D$153),-'Phase III Pro Forma'!E$148-SUM(E$151:E152))</f>
        <v>0</v>
      </c>
      <c r="F153" s="147">
        <f ca="1">MIN('Sources&amp;Uses'!$H$5-SUM($D$153:E$153),-'Phase III Pro Forma'!F$148-SUM(F$151:F152))</f>
        <v>1304183.3335874998</v>
      </c>
      <c r="G153" s="147">
        <f ca="1">MIN('Sources&amp;Uses'!$H$5-SUM($D$153:F$153),-'Phase III Pro Forma'!G$148-SUM(G$151:G152))</f>
        <v>0</v>
      </c>
      <c r="H153" s="147">
        <f ca="1">MIN('Sources&amp;Uses'!$H$5-SUM($D$153:G$153),-'Phase III Pro Forma'!H$148-SUM(H$151:H152))</f>
        <v>0</v>
      </c>
      <c r="I153" s="147">
        <f ca="1">MIN('Sources&amp;Uses'!$H$5-SUM($D$153:H$153),-'Phase III Pro Forma'!I$148-SUM(I$151:I152))</f>
        <v>0</v>
      </c>
      <c r="J153" s="147">
        <f ca="1">MIN('Sources&amp;Uses'!$H$5-SUM($D$153:I$153),-'Phase III Pro Forma'!J$148-SUM(J$151:J152))</f>
        <v>0</v>
      </c>
      <c r="K153" s="147">
        <f ca="1">MIN('Sources&amp;Uses'!$H$5-SUM($D$153:J$153),-'Phase III Pro Forma'!K$148-SUM(K$151:K152))</f>
        <v>0</v>
      </c>
      <c r="L153" s="147">
        <f ca="1">MIN('Sources&amp;Uses'!$H$5-SUM($D$153:K$153),-'Phase III Pro Forma'!L$148-SUM(L$151:L152))</f>
        <v>0</v>
      </c>
      <c r="M153" s="147">
        <f ca="1">MIN('Sources&amp;Uses'!$H$5-SUM($D$153:L$153),-'Phase III Pro Forma'!M$148-SUM(M$151:M152))</f>
        <v>0</v>
      </c>
      <c r="N153" s="147">
        <f ca="1">MIN('Sources&amp;Uses'!$H$5-SUM($D$153:M$153),-'Phase III Pro Forma'!N$148-SUM(N$151:N152))</f>
        <v>0</v>
      </c>
      <c r="O153" s="147">
        <f ca="1">MIN('Sources&amp;Uses'!$H$5-SUM($D$153:N$153),-'Phase III Pro Forma'!O$148-SUM(O$151:O152))</f>
        <v>0</v>
      </c>
      <c r="P153" s="147">
        <f ca="1">MIN('Sources&amp;Uses'!$H$5-SUM($D$153:O$153),-'Phase III Pro Forma'!P$148-SUM(P$151:P152))</f>
        <v>0</v>
      </c>
      <c r="Q153" s="147">
        <f ca="1">MIN('Sources&amp;Uses'!$H$5-SUM($D$153:P$153),-'Phase III Pro Forma'!Q$148-SUM(Q$151:Q152))</f>
        <v>0</v>
      </c>
      <c r="R153" s="147">
        <f ca="1">MIN('Sources&amp;Uses'!$H$5-SUM($D$153:Q$153),-'Phase III Pro Forma'!R$148-SUM(R$151:R152))</f>
        <v>0</v>
      </c>
    </row>
    <row r="154" spans="2:18">
      <c r="B154" s="123" t="str">
        <f>'Sources&amp;Uses'!$C$6</f>
        <v xml:space="preserve">LIHTC </v>
      </c>
      <c r="C154" s="147">
        <f ca="1">SUM(D154:N154)</f>
        <v>45846415.798134804</v>
      </c>
      <c r="D154" s="147">
        <f ca="1">MIN('Sources&amp;Uses'!$H$6,-'Phase III Pro Forma'!D$148-SUM(D151:D153))</f>
        <v>0</v>
      </c>
      <c r="E154" s="147">
        <f ca="1">MIN('Sources&amp;Uses'!$H$6-SUM($D$154:D$154),-'Phase III Pro Forma'!E$148-SUM(E151:E153))</f>
        <v>0</v>
      </c>
      <c r="F154" s="147">
        <f ca="1">MIN('Sources&amp;Uses'!$H$6-SUM($D$154:E$154),-'Phase III Pro Forma'!F$148-SUM(F151:F153))</f>
        <v>45846415.798134804</v>
      </c>
      <c r="G154" s="147">
        <f ca="1">MIN('Sources&amp;Uses'!$H$6-SUM($D$154:F$154),-'Phase III Pro Forma'!G$148-SUM(G151:G153))</f>
        <v>0</v>
      </c>
      <c r="H154" s="147">
        <f ca="1">MIN('Sources&amp;Uses'!$H$6-SUM($D$154:G$154),-'Phase III Pro Forma'!H$148-SUM(H151:H153))</f>
        <v>0</v>
      </c>
      <c r="I154" s="147">
        <f ca="1">MIN('Sources&amp;Uses'!$H$6-SUM($D$154:H$154),-'Phase III Pro Forma'!I$148-SUM(I151:I153))</f>
        <v>0</v>
      </c>
      <c r="J154" s="147">
        <f ca="1">MIN('Sources&amp;Uses'!$H$6-SUM($D$154:I$154),-'Phase III Pro Forma'!J$148-SUM(J151:J153))</f>
        <v>0</v>
      </c>
      <c r="K154" s="147">
        <f ca="1">MIN('Sources&amp;Uses'!$H$6-SUM($D$154:J$154),-'Phase III Pro Forma'!K$148-SUM(K151:K153))</f>
        <v>0</v>
      </c>
      <c r="L154" s="147">
        <f ca="1">MIN('Sources&amp;Uses'!$H$6-SUM($D$154:K$154),-'Phase III Pro Forma'!L$148-SUM(L151:L153))</f>
        <v>0</v>
      </c>
      <c r="M154" s="147">
        <f ca="1">MIN('Sources&amp;Uses'!$H$6-SUM($D$154:L$154),-'Phase III Pro Forma'!M$148-SUM(M151:M153))</f>
        <v>0</v>
      </c>
      <c r="N154" s="147">
        <f ca="1">MIN('Sources&amp;Uses'!$H$6-SUM($D$154:M$154),-'Phase III Pro Forma'!N$148-SUM(N151:N153))</f>
        <v>0</v>
      </c>
      <c r="O154" s="147">
        <f ca="1">MIN('Sources&amp;Uses'!$H$6-SUM($D$154:N$154),-'Phase III Pro Forma'!O$148-SUM(O151:O153))</f>
        <v>0</v>
      </c>
      <c r="P154" s="147">
        <f ca="1">MIN('Sources&amp;Uses'!$H$6-SUM($D$154:O$154),-'Phase III Pro Forma'!P$148-SUM(P151:P153))</f>
        <v>0</v>
      </c>
      <c r="Q154" s="147">
        <f ca="1">MIN('Sources&amp;Uses'!$H$6-SUM($D$154:P$154),-'Phase III Pro Forma'!Q$148-SUM(Q151:Q153))</f>
        <v>0</v>
      </c>
      <c r="R154" s="147">
        <f ca="1">MIN('Sources&amp;Uses'!$H$6-SUM($D$154:Q$154),-'Phase III Pro Forma'!R$148-SUM(R151:R153))</f>
        <v>0</v>
      </c>
    </row>
    <row r="155" spans="2:18">
      <c r="B155" s="123" t="str">
        <f>'Sources&amp;Uses'!$C$8</f>
        <v>CA TOD Housing Program (Infrastructure Grant)</v>
      </c>
      <c r="C155" s="147">
        <f ca="1">SUM(D155:N155)</f>
        <v>0</v>
      </c>
      <c r="D155" s="147">
        <f ca="1">MIN('Sources&amp;Uses'!$H$8,-'Phase III Pro Forma'!D$148-SUM(D151:D154))</f>
        <v>0</v>
      </c>
      <c r="E155" s="147">
        <f ca="1">MIN('Sources&amp;Uses'!$H$8-SUM($D$155:D155),-'Phase III Pro Forma'!E$148-SUM(E151:E154))</f>
        <v>0</v>
      </c>
      <c r="F155" s="147">
        <f ca="1">MIN('Sources&amp;Uses'!$H$8-SUM($D$155:E155),-'Phase III Pro Forma'!F$148-SUM(F151:F154))</f>
        <v>0</v>
      </c>
      <c r="G155" s="147">
        <f ca="1">MIN('Sources&amp;Uses'!$H$8-SUM($D$155:F155),-'Phase III Pro Forma'!G$148-SUM(G151:G154))</f>
        <v>0</v>
      </c>
      <c r="H155" s="147">
        <f ca="1">MIN('Sources&amp;Uses'!$H$8-SUM($D$155:G155),-'Phase III Pro Forma'!H$148-SUM(H151:H154))</f>
        <v>0</v>
      </c>
      <c r="I155" s="147">
        <f ca="1">MIN('Sources&amp;Uses'!$H$8-SUM($D$155:H155),-'Phase III Pro Forma'!I$148-SUM(I151:I154))</f>
        <v>0</v>
      </c>
      <c r="J155" s="147">
        <f ca="1">MIN('Sources&amp;Uses'!$H$8-SUM($D$155:I155),-'Phase III Pro Forma'!J$148-SUM(J151:J154))</f>
        <v>0</v>
      </c>
      <c r="K155" s="147">
        <f ca="1">MIN('Sources&amp;Uses'!$H$8-SUM($D$155:J155),-'Phase III Pro Forma'!K$148-SUM(K151:K154))</f>
        <v>0</v>
      </c>
      <c r="L155" s="147">
        <f ca="1">MIN('Sources&amp;Uses'!$H$8-SUM($D$155:K155),-'Phase III Pro Forma'!L$148-SUM(L151:L154))</f>
        <v>0</v>
      </c>
      <c r="M155" s="147">
        <f ca="1">MIN('Sources&amp;Uses'!$H$8-SUM($D$155:L155),-'Phase III Pro Forma'!M$148-SUM(M151:M154))</f>
        <v>0</v>
      </c>
      <c r="N155" s="147">
        <f ca="1">MIN('Sources&amp;Uses'!$H$8-SUM($D$155:M155),-'Phase III Pro Forma'!N$148-SUM(N151:N154))</f>
        <v>0</v>
      </c>
      <c r="O155" s="147">
        <f ca="1">MIN('Sources&amp;Uses'!$H$8-SUM($D$155:N155),-'Phase III Pro Forma'!O$148-SUM(O151:O154))</f>
        <v>0</v>
      </c>
      <c r="P155" s="147">
        <f ca="1">MIN('Sources&amp;Uses'!$H$8-SUM($D$155:O155),-'Phase III Pro Forma'!P$148-SUM(P151:P154))</f>
        <v>0</v>
      </c>
      <c r="Q155" s="147">
        <f ca="1">MIN('Sources&amp;Uses'!$H$8-SUM($D$155:P155),-'Phase III Pro Forma'!Q$148-SUM(Q151:Q154))</f>
        <v>0</v>
      </c>
      <c r="R155" s="147">
        <f ca="1">MIN('Sources&amp;Uses'!$H$8-SUM($D$155:Q155),-'Phase III Pro Forma'!R$148-SUM(R151:R154))</f>
        <v>0</v>
      </c>
    </row>
    <row r="156" spans="2:18">
      <c r="B156" s="123">
        <f>'Sources&amp;Uses'!$C$9</f>
        <v>0</v>
      </c>
      <c r="C156" s="147">
        <f ca="1">SUM(D156:N156)</f>
        <v>0</v>
      </c>
      <c r="D156" s="147">
        <f ca="1">MIN('Sources&amp;Uses'!$H$9,-'Phase III Pro Forma'!D$148-SUM(D151:D154))</f>
        <v>0</v>
      </c>
      <c r="E156" s="147">
        <f ca="1">MIN('Sources&amp;Uses'!$H$9-SUM($D$156:D156),-'Phase III Pro Forma'!E$148-SUM(E151:E155))</f>
        <v>0</v>
      </c>
      <c r="F156" s="147">
        <f ca="1">MIN('Sources&amp;Uses'!$H$9-SUM($D$156:E156),-'Phase III Pro Forma'!F$148-SUM(F151:F155))</f>
        <v>0</v>
      </c>
      <c r="G156" s="147">
        <f ca="1">MIN('Sources&amp;Uses'!$H$9-SUM($D$156:F156),-'Phase III Pro Forma'!G$148-SUM(G151:G155))</f>
        <v>0</v>
      </c>
      <c r="H156" s="147">
        <f ca="1">MIN('Sources&amp;Uses'!$H$9-SUM($D$156:G156),-'Phase III Pro Forma'!H$148-SUM(H151:H155))</f>
        <v>0</v>
      </c>
      <c r="I156" s="147">
        <f ca="1">MIN('Sources&amp;Uses'!$H$9-SUM($D$156:H156),-'Phase III Pro Forma'!I$148-SUM(I151:I155))</f>
        <v>0</v>
      </c>
      <c r="J156" s="147">
        <f ca="1">MIN('Sources&amp;Uses'!$H$9-SUM($D$156:I156),-'Phase III Pro Forma'!J$148-SUM(J151:J155))</f>
        <v>0</v>
      </c>
      <c r="K156" s="147">
        <f ca="1">MIN('Sources&amp;Uses'!$H$9-SUM($D$156:J156),-'Phase III Pro Forma'!K$148-SUM(K151:K155))</f>
        <v>0</v>
      </c>
      <c r="L156" s="147">
        <f ca="1">MIN('Sources&amp;Uses'!$H$9-SUM($D$156:K156),-'Phase III Pro Forma'!L$148-SUM(L151:L155))</f>
        <v>0</v>
      </c>
      <c r="M156" s="147">
        <f ca="1">MIN('Sources&amp;Uses'!$H$9-SUM($D$156:L156),-'Phase III Pro Forma'!M$148-SUM(M151:M155))</f>
        <v>0</v>
      </c>
      <c r="N156" s="147">
        <f ca="1">MIN('Sources&amp;Uses'!$H$9-SUM($D$156:M156),-'Phase III Pro Forma'!N$148-SUM(N151:N155))</f>
        <v>0</v>
      </c>
      <c r="O156" s="147">
        <f ca="1">MIN('Sources&amp;Uses'!$H$9-SUM($D$156:N156),-'Phase III Pro Forma'!O$148-SUM(O151:O155))</f>
        <v>0</v>
      </c>
      <c r="P156" s="147">
        <f ca="1">MIN('Sources&amp;Uses'!$H$9-SUM($D$156:O156),-'Phase III Pro Forma'!P$148-SUM(P151:P155))</f>
        <v>0</v>
      </c>
      <c r="Q156" s="147">
        <f ca="1">MIN('Sources&amp;Uses'!$H$9-SUM($D$156:P156),-'Phase III Pro Forma'!Q$148-SUM(Q151:Q155))</f>
        <v>0</v>
      </c>
      <c r="R156" s="147">
        <f ca="1">MIN('Sources&amp;Uses'!$H$9-SUM($D$156:Q156),-'Phase III Pro Forma'!R$148-SUM(R151:R155))</f>
        <v>0</v>
      </c>
    </row>
    <row r="157" spans="2:18">
      <c r="B157" s="123" t="str">
        <f>'Sources&amp;Uses'!$C$10</f>
        <v>CA Strategic Growth Council (Aff Housing and Sustainable Communities)</v>
      </c>
      <c r="C157" s="147">
        <f ca="1">SUM(D157:N157)</f>
        <v>0</v>
      </c>
      <c r="D157" s="147">
        <f ca="1">MIN('Sources&amp;Uses'!$H$10,-'Phase III Pro Forma'!D$148-SUM(D151:D156))</f>
        <v>0</v>
      </c>
      <c r="E157" s="147">
        <f ca="1">MIN('Sources&amp;Uses'!$H$10-SUM($D$157:D157),-'Phase III Pro Forma'!E$148-SUM(E151:E156))</f>
        <v>0</v>
      </c>
      <c r="F157" s="147">
        <f ca="1">MIN('Sources&amp;Uses'!$H$10-SUM($D$157:E157),-'Phase III Pro Forma'!F$148-SUM(F151:F156))</f>
        <v>0</v>
      </c>
      <c r="G157" s="147">
        <f ca="1">MIN('Sources&amp;Uses'!$H$10-SUM($D$157:F157),-'Phase III Pro Forma'!G$148-SUM(G151:G156))</f>
        <v>0</v>
      </c>
      <c r="H157" s="147">
        <f ca="1">MIN('Sources&amp;Uses'!$H$10-SUM($D$157:G157),-'Phase III Pro Forma'!H$148-SUM(H151:H156))</f>
        <v>0</v>
      </c>
      <c r="I157" s="147">
        <f ca="1">MIN('Sources&amp;Uses'!$H$10-SUM($D$157:H157),-'Phase III Pro Forma'!I$148-SUM(I151:I156))</f>
        <v>0</v>
      </c>
      <c r="J157" s="147">
        <f ca="1">MIN('Sources&amp;Uses'!$H$10-SUM($D$157:I157),-'Phase III Pro Forma'!J$148-SUM(J151:J156))</f>
        <v>0</v>
      </c>
      <c r="K157" s="147">
        <f ca="1">MIN('Sources&amp;Uses'!$H$10-SUM($D$157:J157),-'Phase III Pro Forma'!K$148-SUM(K151:K156))</f>
        <v>0</v>
      </c>
      <c r="L157" s="147">
        <f ca="1">MIN('Sources&amp;Uses'!$H$10-SUM($D$157:K157),-'Phase III Pro Forma'!L$148-SUM(L151:L156))</f>
        <v>0</v>
      </c>
      <c r="M157" s="147">
        <f ca="1">MIN('Sources&amp;Uses'!$H$10-SUM($D$157:L157),-'Phase III Pro Forma'!M$148-SUM(M151:M156))</f>
        <v>0</v>
      </c>
      <c r="N157" s="147">
        <f ca="1">MIN('Sources&amp;Uses'!$H$10-SUM($D$157:M157),-'Phase III Pro Forma'!N$148-SUM(N151:N156))</f>
        <v>0</v>
      </c>
      <c r="O157" s="147">
        <f ca="1">MIN('Sources&amp;Uses'!$H$10-SUM($D$157:N157),-'Phase III Pro Forma'!O$148-SUM(O151:O156))</f>
        <v>0</v>
      </c>
      <c r="P157" s="147">
        <f ca="1">MIN('Sources&amp;Uses'!$H$10-SUM($D$157:O157),-'Phase III Pro Forma'!P$148-SUM(P151:P156))</f>
        <v>0</v>
      </c>
      <c r="Q157" s="147">
        <f ca="1">MIN('Sources&amp;Uses'!$H$10-SUM($D$157:P157),-'Phase III Pro Forma'!Q$148-SUM(Q151:Q156))</f>
        <v>0</v>
      </c>
      <c r="R157" s="147">
        <f ca="1">MIN('Sources&amp;Uses'!$H$10-SUM($D$157:Q157),-'Phase III Pro Forma'!R$148-SUM(R151:R156))</f>
        <v>0</v>
      </c>
    </row>
    <row r="158" spans="2:18">
      <c r="B158" s="123" t="str">
        <f>'Sources&amp;Uses'!$C$11</f>
        <v>Senior Construction Loan</v>
      </c>
      <c r="C158" s="147">
        <f ca="1">SUM(D158:N158)</f>
        <v>212771362.88628966</v>
      </c>
      <c r="D158" s="147">
        <f ca="1">MIN('Sources&amp;Uses'!$H$11,-'Phase III Pro Forma'!D$148-SUM(D151:D157))</f>
        <v>0</v>
      </c>
      <c r="E158" s="147">
        <f ca="1">MIN('Sources&amp;Uses'!$H$11-SUM($D$158:D158),-'Phase III Pro Forma'!E$148-SUM(E151:E157))</f>
        <v>0</v>
      </c>
      <c r="F158" s="147">
        <f ca="1">MIN('Sources&amp;Uses'!$H$11-SUM($D$158:E158),-'Phase III Pro Forma'!F$148-SUM(F151:F157))</f>
        <v>27415598.045138821</v>
      </c>
      <c r="G158" s="147">
        <f ca="1">MIN('Sources&amp;Uses'!$H$11-SUM($D$158:F158),-'Phase III Pro Forma'!G$148-SUM(G151:G157))</f>
        <v>100636695.09553313</v>
      </c>
      <c r="H158" s="147">
        <f ca="1">MIN('Sources&amp;Uses'!$H$11-SUM($D$158:G158),-'Phase III Pro Forma'!H$148-SUM(H151:H157))</f>
        <v>84719069.745617703</v>
      </c>
      <c r="I158" s="147">
        <f ca="1">MIN('Sources&amp;Uses'!$H$11-SUM($D$158:H158),-'Phase III Pro Forma'!I$148-SUM(I151:I157))</f>
        <v>0</v>
      </c>
      <c r="J158" s="147">
        <f ca="1">MIN('Sources&amp;Uses'!$H$11-SUM($D$158:I158),-'Phase III Pro Forma'!J$148-SUM(J151:J157))</f>
        <v>0</v>
      </c>
      <c r="K158" s="147">
        <f ca="1">MIN('Sources&amp;Uses'!$H$11-SUM($D$158:J158),-'Phase III Pro Forma'!K$148-SUM(K151:K157))</f>
        <v>0</v>
      </c>
      <c r="L158" s="147">
        <f ca="1">MIN('Sources&amp;Uses'!$H$11-SUM($D$158:K158),-'Phase III Pro Forma'!L$148-SUM(L151:L157))</f>
        <v>0</v>
      </c>
      <c r="M158" s="147">
        <f ca="1">MIN('Sources&amp;Uses'!$H$11-SUM($D$158:L158),-'Phase III Pro Forma'!M$148-SUM(M151:M157))</f>
        <v>0</v>
      </c>
      <c r="N158" s="147">
        <f ca="1">MIN('Sources&amp;Uses'!$H$11-SUM($D$158:M158),-'Phase III Pro Forma'!N$148-SUM(N151:N157))</f>
        <v>0</v>
      </c>
      <c r="O158" s="147">
        <f ca="1">MIN('Sources&amp;Uses'!$H$11-SUM($D$158:N158),-'Phase III Pro Forma'!O$148-SUM(O151:O157))</f>
        <v>0</v>
      </c>
      <c r="P158" s="147">
        <f ca="1">MIN('Sources&amp;Uses'!$H$11-SUM($D$158:O158),-'Phase III Pro Forma'!P$148-SUM(P151:P157))</f>
        <v>0</v>
      </c>
      <c r="Q158" s="147">
        <f ca="1">MIN('Sources&amp;Uses'!$H$11-SUM($D$158:P158),-'Phase III Pro Forma'!Q$148-SUM(Q151:Q157))</f>
        <v>0</v>
      </c>
      <c r="R158" s="147">
        <f ca="1">MIN('Sources&amp;Uses'!$H$11-SUM($D$158:Q158),-'Phase III Pro Forma'!R$148-SUM(R151:R157))</f>
        <v>0</v>
      </c>
    </row>
    <row r="159" spans="2:18">
      <c r="B159" s="123" t="str">
        <f>'Sources&amp;Uses'!$C$12</f>
        <v>TIF Loan</v>
      </c>
      <c r="C159" s="147">
        <f ca="1">SUM(D159:N159)</f>
        <v>15917625.34991543</v>
      </c>
      <c r="D159" s="147">
        <f ca="1">MIN('Sources&amp;Uses'!$H$12,-'Phase III Pro Forma'!D$148-SUM(D151:D158))</f>
        <v>0</v>
      </c>
      <c r="E159" s="147">
        <f ca="1">MIN('Sources&amp;Uses'!$H$12-SUM($D$159:D159),-'Phase III Pro Forma'!E$148-SUM(E151:E158))</f>
        <v>0</v>
      </c>
      <c r="F159" s="147">
        <f ca="1">MIN('Sources&amp;Uses'!$H$12-SUM($D$159:E159),-'Phase III Pro Forma'!F$148-SUM(F151:F158))</f>
        <v>0</v>
      </c>
      <c r="G159" s="147">
        <f ca="1">MIN('Sources&amp;Uses'!$H$12-SUM($D$159:F159),-'Phase III Pro Forma'!G$148-SUM(G151:G158))</f>
        <v>0</v>
      </c>
      <c r="H159" s="147">
        <f ca="1">MIN('Sources&amp;Uses'!$H$12-SUM($D$159:G159),-'Phase III Pro Forma'!H$148-SUM(H151:H158))</f>
        <v>15917625.34991543</v>
      </c>
      <c r="I159" s="147">
        <f ca="1">MIN('Sources&amp;Uses'!$H$12-SUM($D$159:H159),-'Phase III Pro Forma'!I$148-SUM(I151:I158))</f>
        <v>0</v>
      </c>
      <c r="J159" s="147">
        <f ca="1">MIN('Sources&amp;Uses'!$H$12-SUM($D$159:I159),-'Phase III Pro Forma'!J$148-SUM(J151:J158))</f>
        <v>0</v>
      </c>
      <c r="K159" s="147">
        <f ca="1">MIN('Sources&amp;Uses'!$H$12-SUM($D$159:J159),-'Phase III Pro Forma'!K$148-SUM(K151:K158))</f>
        <v>0</v>
      </c>
      <c r="L159" s="147">
        <f ca="1">MIN('Sources&amp;Uses'!$H$12-SUM($D$159:K159),-'Phase III Pro Forma'!L$148-SUM(L151:L158))</f>
        <v>0</v>
      </c>
      <c r="M159" s="147">
        <f ca="1">MIN('Sources&amp;Uses'!$H$12-SUM($D$159:L159),-'Phase III Pro Forma'!M$148-SUM(M151:M158))</f>
        <v>0</v>
      </c>
      <c r="N159" s="147">
        <f ca="1">MIN('Sources&amp;Uses'!$H$12-SUM($D$159:M159),-'Phase III Pro Forma'!N$148-SUM(N151:N158))</f>
        <v>0</v>
      </c>
      <c r="O159" s="147">
        <f ca="1">MIN('Sources&amp;Uses'!$H$12-SUM($D$159:N159),-'Phase III Pro Forma'!O$148-SUM(O151:O158))</f>
        <v>0</v>
      </c>
      <c r="P159" s="147">
        <f ca="1">MIN('Sources&amp;Uses'!$H$12-SUM($D$159:O159),-'Phase III Pro Forma'!P$148-SUM(P151:P158))</f>
        <v>0</v>
      </c>
      <c r="Q159" s="147">
        <f ca="1">MIN('Sources&amp;Uses'!$H$12-SUM($D$159:P159),-'Phase III Pro Forma'!Q$148-SUM(Q151:Q158))</f>
        <v>0</v>
      </c>
      <c r="R159" s="147">
        <f ca="1">MIN('Sources&amp;Uses'!$H$12-SUM($D$159:Q159),-'Phase III Pro Forma'!R$148-SUM(R151:R158))</f>
        <v>0</v>
      </c>
    </row>
    <row r="160" spans="2:18">
      <c r="B160" s="125" t="s">
        <v>440</v>
      </c>
      <c r="C160" s="147">
        <f ca="1">SUM(D160:N160)</f>
        <v>327340558.2865994</v>
      </c>
      <c r="D160" s="147">
        <f ca="1">SUM(D151:D159)</f>
        <v>0</v>
      </c>
      <c r="E160" s="147">
        <f ca="1">SUM(E151:E159)</f>
        <v>25430473</v>
      </c>
      <c r="F160" s="147">
        <f ca="1">SUM(F151:F159)</f>
        <v>100636695.09553313</v>
      </c>
      <c r="G160" s="147">
        <f ca="1">SUM(G151:G159)</f>
        <v>100636695.09553313</v>
      </c>
      <c r="H160" s="147">
        <f ca="1">SUM(H151:H159)</f>
        <v>100636695.09553313</v>
      </c>
      <c r="I160" s="147">
        <f ca="1">SUM(I151:I159)</f>
        <v>0</v>
      </c>
      <c r="J160" s="147">
        <f ca="1">SUM(J151:J159)</f>
        <v>0</v>
      </c>
      <c r="K160" s="147">
        <f ca="1">SUM(K151:K159)</f>
        <v>0</v>
      </c>
      <c r="L160" s="147">
        <f ca="1">SUM(L151:L159)</f>
        <v>0</v>
      </c>
      <c r="M160" s="147">
        <f ca="1">SUM(M151:M159)</f>
        <v>0</v>
      </c>
      <c r="N160" s="147">
        <f ca="1">SUM(N151:N159)</f>
        <v>0</v>
      </c>
      <c r="O160" s="147">
        <f t="shared" ref="O160:R160" ca="1" si="129">SUM(O151:O159)</f>
        <v>0</v>
      </c>
      <c r="P160" s="147">
        <f t="shared" ca="1" si="129"/>
        <v>0</v>
      </c>
      <c r="Q160" s="147">
        <f t="shared" ca="1" si="129"/>
        <v>0</v>
      </c>
      <c r="R160" s="147">
        <f t="shared" ca="1" si="129"/>
        <v>0</v>
      </c>
    </row>
    <row r="161" spans="2:18">
      <c r="B161" s="125"/>
      <c r="C161" s="147"/>
      <c r="D161" s="34"/>
    </row>
    <row r="162" spans="2:18">
      <c r="B162" s="256" t="s">
        <v>441</v>
      </c>
      <c r="C162" s="147">
        <f ca="1">SUM(D162:N162)</f>
        <v>69270537.855735362</v>
      </c>
      <c r="D162" s="147">
        <f ca="1">D152+D153+D154+D156+D157+D159</f>
        <v>0</v>
      </c>
      <c r="E162" s="147">
        <f ca="1">E152+E153+E154+E156+E157+E159</f>
        <v>0</v>
      </c>
      <c r="F162" s="147">
        <f ca="1">F152+F153+F154+F156+F157+F159</f>
        <v>53352912.505819932</v>
      </c>
      <c r="G162" s="147">
        <f ca="1">G152+G153+G154+G156+G157+G159</f>
        <v>0</v>
      </c>
      <c r="H162" s="147">
        <f ca="1">H152+H153+H154+H156+H157+H159</f>
        <v>15917625.34991543</v>
      </c>
      <c r="I162" s="147">
        <f ca="1">I152+I153+I154+I156+I157+I159</f>
        <v>0</v>
      </c>
      <c r="J162" s="147">
        <f ca="1">J152+J153+J154+J156+J157+J159</f>
        <v>0</v>
      </c>
      <c r="K162" s="147">
        <f ca="1">K152+K153+K154+K156+K157+K159</f>
        <v>0</v>
      </c>
      <c r="L162" s="147">
        <f ca="1">L152+L153+L154+L156+L157+L159</f>
        <v>0</v>
      </c>
      <c r="M162" s="147">
        <f ca="1">M152+M153+M154+M156+M157+M159</f>
        <v>0</v>
      </c>
      <c r="N162" s="147">
        <f ca="1">N152+N153+N154+N156+N157+N159</f>
        <v>0</v>
      </c>
      <c r="O162" s="147">
        <f t="shared" ref="O162:R162" ca="1" si="130">O152+O153+O154+O156+O157+O159</f>
        <v>0</v>
      </c>
      <c r="P162" s="147">
        <f t="shared" ca="1" si="130"/>
        <v>0</v>
      </c>
      <c r="Q162" s="147">
        <f t="shared" ca="1" si="130"/>
        <v>0</v>
      </c>
      <c r="R162" s="147">
        <f t="shared" ca="1" si="130"/>
        <v>0</v>
      </c>
    </row>
    <row r="163" spans="2:18">
      <c r="B163" s="256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</row>
    <row r="164" spans="2:18" ht="18">
      <c r="B164" s="302" t="s">
        <v>442</v>
      </c>
      <c r="C164" s="284"/>
      <c r="D164" s="284"/>
      <c r="E164" s="284"/>
      <c r="F164" s="284"/>
      <c r="G164" s="284"/>
      <c r="H164" s="284"/>
      <c r="I164" s="284"/>
      <c r="J164" s="284"/>
      <c r="K164" s="284"/>
      <c r="L164" s="284"/>
      <c r="M164" s="284"/>
      <c r="N164" s="284"/>
      <c r="O164" s="284"/>
      <c r="P164" s="284"/>
      <c r="Q164" s="284"/>
      <c r="R164" s="284"/>
    </row>
    <row r="165" spans="2:18">
      <c r="B165" s="123" t="s">
        <v>443</v>
      </c>
      <c r="C165" s="147">
        <f ca="1">SUM(D165:N165)</f>
        <v>-45298657.54457438</v>
      </c>
      <c r="D165" s="147">
        <f ca="1">-D151</f>
        <v>0</v>
      </c>
      <c r="E165" s="147">
        <f ca="1">-E151</f>
        <v>-25430473</v>
      </c>
      <c r="F165" s="147">
        <f ca="1">-F151</f>
        <v>-19868184.54457438</v>
      </c>
      <c r="G165" s="147">
        <f ca="1">-G151</f>
        <v>0</v>
      </c>
      <c r="H165" s="147">
        <f ca="1">-H151</f>
        <v>0</v>
      </c>
      <c r="I165" s="147">
        <f ca="1">-I151</f>
        <v>0</v>
      </c>
      <c r="J165" s="147">
        <f ca="1">-J151</f>
        <v>0</v>
      </c>
      <c r="K165" s="147">
        <f ca="1">-K151</f>
        <v>0</v>
      </c>
      <c r="L165" s="147">
        <f ca="1">-L151</f>
        <v>0</v>
      </c>
      <c r="M165" s="147">
        <f ca="1">-M151</f>
        <v>0</v>
      </c>
      <c r="N165" s="147">
        <f t="shared" ref="N165" ca="1" si="131">-N151</f>
        <v>0</v>
      </c>
      <c r="O165" s="147">
        <f t="shared" ref="O165:R165" ca="1" si="132">-O151</f>
        <v>0</v>
      </c>
      <c r="P165" s="147">
        <f t="shared" ca="1" si="132"/>
        <v>0</v>
      </c>
      <c r="Q165" s="147">
        <f t="shared" ca="1" si="132"/>
        <v>0</v>
      </c>
      <c r="R165" s="147">
        <f t="shared" ca="1" si="132"/>
        <v>0</v>
      </c>
    </row>
    <row r="166" spans="2:18" ht="17.100000000000001" thickBot="1">
      <c r="B166" s="123" t="s">
        <v>444</v>
      </c>
      <c r="C166" s="147">
        <f ca="1">SUM(D166:N166)</f>
        <v>144546224.99739921</v>
      </c>
      <c r="D166" s="147">
        <f ca="1">D138</f>
        <v>0</v>
      </c>
      <c r="E166" s="147">
        <f t="shared" ref="E166:N166" ca="1" si="133">E138</f>
        <v>0</v>
      </c>
      <c r="F166" s="147">
        <f ca="1">F138</f>
        <v>-919609.71486865683</v>
      </c>
      <c r="G166" s="147">
        <f ca="1">G138</f>
        <v>-5045528.2579373457</v>
      </c>
      <c r="H166" s="147">
        <f ca="1">H138</f>
        <v>4445761.8130905554</v>
      </c>
      <c r="I166" s="147">
        <f ca="1">I138</f>
        <v>2839437.1953264698</v>
      </c>
      <c r="J166" s="147">
        <f t="shared" ca="1" si="133"/>
        <v>143226163.96178818</v>
      </c>
      <c r="K166" s="147">
        <f t="shared" si="133"/>
        <v>0</v>
      </c>
      <c r="L166" s="147">
        <f t="shared" si="133"/>
        <v>0</v>
      </c>
      <c r="M166" s="147">
        <f t="shared" si="133"/>
        <v>0</v>
      </c>
      <c r="N166" s="147">
        <f t="shared" si="133"/>
        <v>0</v>
      </c>
      <c r="O166" s="147">
        <f t="shared" ref="O166:R166" si="134">O138</f>
        <v>0</v>
      </c>
      <c r="P166" s="147">
        <f t="shared" si="134"/>
        <v>0</v>
      </c>
      <c r="Q166" s="147">
        <f t="shared" si="134"/>
        <v>0</v>
      </c>
      <c r="R166" s="147">
        <f t="shared" si="134"/>
        <v>0</v>
      </c>
    </row>
    <row r="167" spans="2:18" ht="17.100000000000001" thickBot="1">
      <c r="B167" s="287" t="s">
        <v>445</v>
      </c>
      <c r="C167" s="289">
        <f ca="1">SUM(C165:C166)</f>
        <v>99247567.452824831</v>
      </c>
      <c r="D167" s="289">
        <f ca="1">D165+D166</f>
        <v>0</v>
      </c>
      <c r="E167" s="289">
        <f ca="1">E165+E166</f>
        <v>-25430473</v>
      </c>
      <c r="F167" s="289">
        <f ca="1">F165+F166</f>
        <v>-20787794.259443037</v>
      </c>
      <c r="G167" s="289">
        <f ca="1">G165+G166</f>
        <v>-5045528.2579373457</v>
      </c>
      <c r="H167" s="289">
        <f ca="1">H165+H166</f>
        <v>4445761.8130905554</v>
      </c>
      <c r="I167" s="289">
        <f ca="1">I165+I166</f>
        <v>2839437.1953264698</v>
      </c>
      <c r="J167" s="289">
        <f ca="1">J165+J166</f>
        <v>143226163.96178818</v>
      </c>
      <c r="K167" s="289">
        <f ca="1">K165+K166</f>
        <v>0</v>
      </c>
      <c r="L167" s="289">
        <f ca="1">L165+L166</f>
        <v>0</v>
      </c>
      <c r="M167" s="289">
        <f ca="1">M165+M166</f>
        <v>0</v>
      </c>
      <c r="N167" s="290">
        <f t="shared" ref="N167" ca="1" si="135">N165+N166</f>
        <v>0</v>
      </c>
      <c r="O167" s="290">
        <f t="shared" ref="O167" ca="1" si="136">O165+O166</f>
        <v>0</v>
      </c>
      <c r="P167" s="290">
        <f t="shared" ref="P167" ca="1" si="137">P165+P166</f>
        <v>0</v>
      </c>
      <c r="Q167" s="290">
        <f t="shared" ref="Q167" ca="1" si="138">Q165+Q166</f>
        <v>0</v>
      </c>
      <c r="R167" s="290">
        <f t="shared" ref="R167" ca="1" si="139">R165+R166</f>
        <v>0</v>
      </c>
    </row>
    <row r="168" spans="2:18" ht="17.100000000000001" thickBot="1">
      <c r="B168" s="128"/>
      <c r="C168" s="128"/>
    </row>
    <row r="169" spans="2:18">
      <c r="B169" s="292" t="s">
        <v>446</v>
      </c>
      <c r="C169" s="293">
        <f ca="1">IRR(D167:N167)</f>
        <v>0.28072716108235607</v>
      </c>
      <c r="D169" s="34"/>
    </row>
    <row r="170" spans="2:18" ht="17.100000000000001" thickBot="1">
      <c r="B170" s="294" t="s">
        <v>447</v>
      </c>
      <c r="C170" s="295">
        <f ca="1">C166/-C165</f>
        <v>3.1909604573858315</v>
      </c>
    </row>
    <row r="171" spans="2:18">
      <c r="B171" s="125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</row>
    <row r="172" spans="2:18">
      <c r="B172" s="125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</row>
    <row r="173" spans="2:18" ht="18">
      <c r="B173" s="302" t="s">
        <v>448</v>
      </c>
      <c r="C173" s="284"/>
      <c r="D173" s="279">
        <f>D2</f>
        <v>2026</v>
      </c>
      <c r="E173" s="279">
        <f>E2</f>
        <v>2027</v>
      </c>
      <c r="F173" s="279">
        <f>F2</f>
        <v>2028</v>
      </c>
      <c r="G173" s="279">
        <f>G2</f>
        <v>2029</v>
      </c>
      <c r="H173" s="279">
        <f>H2</f>
        <v>2030</v>
      </c>
      <c r="I173" s="279">
        <f>I2</f>
        <v>2031</v>
      </c>
      <c r="J173" s="279">
        <f>J2</f>
        <v>2032</v>
      </c>
      <c r="K173" s="279">
        <f>K2</f>
        <v>2033</v>
      </c>
      <c r="L173" s="279">
        <f>L2</f>
        <v>2034</v>
      </c>
      <c r="M173" s="279">
        <f>M2</f>
        <v>2035</v>
      </c>
      <c r="N173" s="279">
        <f>N2</f>
        <v>2036</v>
      </c>
      <c r="O173" s="279">
        <f>O2</f>
        <v>2037</v>
      </c>
      <c r="P173" s="279">
        <f>P2</f>
        <v>2038</v>
      </c>
      <c r="Q173" s="279">
        <f>Q2</f>
        <v>2039</v>
      </c>
      <c r="R173" s="279">
        <f>R2</f>
        <v>2040</v>
      </c>
    </row>
    <row r="174" spans="2:18">
      <c r="B174" s="280"/>
      <c r="C174" s="284"/>
      <c r="D174" s="281">
        <f>D3</f>
        <v>46387</v>
      </c>
      <c r="E174" s="281">
        <f>E3</f>
        <v>46752</v>
      </c>
      <c r="F174" s="281">
        <f>F3</f>
        <v>47118</v>
      </c>
      <c r="G174" s="281">
        <f>G3</f>
        <v>47483</v>
      </c>
      <c r="H174" s="281">
        <f>H3</f>
        <v>47848</v>
      </c>
      <c r="I174" s="281">
        <f>I3</f>
        <v>48213</v>
      </c>
      <c r="J174" s="281">
        <f>J3</f>
        <v>48579</v>
      </c>
      <c r="K174" s="281">
        <f>K3</f>
        <v>48944</v>
      </c>
      <c r="L174" s="281">
        <f>L3</f>
        <v>49309</v>
      </c>
      <c r="M174" s="281">
        <f>M3</f>
        <v>49674</v>
      </c>
      <c r="N174" s="281">
        <f>N3</f>
        <v>50040</v>
      </c>
      <c r="O174" s="281">
        <f>O3</f>
        <v>50405</v>
      </c>
      <c r="P174" s="281">
        <f>P3</f>
        <v>50770</v>
      </c>
      <c r="Q174" s="281">
        <f>Q3</f>
        <v>51135</v>
      </c>
      <c r="R174" s="281">
        <f>R3</f>
        <v>51501</v>
      </c>
    </row>
    <row r="175" spans="2:18">
      <c r="B175" s="136"/>
      <c r="C175" s="296"/>
      <c r="D175" s="297"/>
      <c r="E175" s="297"/>
      <c r="F175" s="297"/>
      <c r="G175" s="297"/>
      <c r="H175" s="297"/>
      <c r="I175" s="297"/>
      <c r="J175" s="297"/>
      <c r="K175" s="297"/>
      <c r="L175" s="297"/>
      <c r="M175" s="297"/>
      <c r="N175" s="297"/>
      <c r="O175" s="297"/>
      <c r="P175" s="297"/>
      <c r="Q175" s="297"/>
      <c r="R175" s="297"/>
    </row>
    <row r="176" spans="2:18">
      <c r="B176" s="124" t="s">
        <v>424</v>
      </c>
      <c r="C176" s="296"/>
      <c r="D176" s="147">
        <f ca="1">D113</f>
        <v>0</v>
      </c>
      <c r="E176" s="147">
        <f ca="1">E113</f>
        <v>0</v>
      </c>
      <c r="F176" s="147">
        <f ca="1">F113</f>
        <v>0</v>
      </c>
      <c r="G176" s="147">
        <f ca="1">G113</f>
        <v>0</v>
      </c>
      <c r="H176" s="147">
        <f ca="1">H113</f>
        <v>14927823.553117314</v>
      </c>
      <c r="I176" s="147">
        <f ca="1">I113</f>
        <v>15351704.24336176</v>
      </c>
      <c r="J176" s="147">
        <f ca="1">J113</f>
        <v>15788219.80064008</v>
      </c>
      <c r="K176" s="147">
        <f ca="1">K113</f>
        <v>16237757.306210587</v>
      </c>
      <c r="L176" s="147">
        <f ca="1">L113</f>
        <v>16700715.882916458</v>
      </c>
      <c r="M176" s="147">
        <f ca="1">M113</f>
        <v>17177507.07315778</v>
      </c>
      <c r="N176" s="147">
        <f ca="1">N113</f>
        <v>17668555.228796504</v>
      </c>
      <c r="O176" s="147">
        <f ca="1">O113</f>
        <v>18174297.913372703</v>
      </c>
      <c r="P176" s="147">
        <f ca="1">P113</f>
        <v>18695186.317022417</v>
      </c>
      <c r="Q176" s="147">
        <f ca="1">Q113</f>
        <v>19231685.684499919</v>
      </c>
      <c r="R176" s="147">
        <f ca="1">R113</f>
        <v>19784275.756719958</v>
      </c>
    </row>
    <row r="177" spans="2:18">
      <c r="B177" s="124" t="s">
        <v>449</v>
      </c>
      <c r="C177" s="296"/>
      <c r="D177" s="147">
        <f>D136</f>
        <v>0</v>
      </c>
      <c r="E177" s="147">
        <f t="shared" ref="E177:N177" si="140">E136</f>
        <v>0</v>
      </c>
      <c r="F177" s="147">
        <f t="shared" si="140"/>
        <v>0</v>
      </c>
      <c r="G177" s="147">
        <f t="shared" si="140"/>
        <v>0</v>
      </c>
      <c r="H177" s="147">
        <f t="shared" si="140"/>
        <v>0</v>
      </c>
      <c r="I177" s="147">
        <f t="shared" si="140"/>
        <v>0</v>
      </c>
      <c r="J177" s="147">
        <f t="shared" ca="1" si="140"/>
        <v>336797162.03666198</v>
      </c>
      <c r="K177" s="147">
        <f t="shared" si="140"/>
        <v>0</v>
      </c>
      <c r="L177" s="147">
        <f t="shared" si="140"/>
        <v>0</v>
      </c>
      <c r="M177" s="147">
        <f t="shared" si="140"/>
        <v>0</v>
      </c>
      <c r="N177" s="147">
        <f t="shared" si="140"/>
        <v>0</v>
      </c>
      <c r="O177" s="147">
        <f t="shared" ref="O177:R177" si="141">O136</f>
        <v>0</v>
      </c>
      <c r="P177" s="147">
        <f t="shared" si="141"/>
        <v>0</v>
      </c>
      <c r="Q177" s="147">
        <f t="shared" si="141"/>
        <v>0</v>
      </c>
      <c r="R177" s="147">
        <f t="shared" si="141"/>
        <v>0</v>
      </c>
    </row>
    <row r="178" spans="2:18">
      <c r="B178" s="124"/>
      <c r="C178" s="296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</row>
    <row r="179" spans="2:18" ht="18">
      <c r="B179" s="302" t="s">
        <v>16</v>
      </c>
      <c r="C179" s="280"/>
      <c r="D179" s="284"/>
      <c r="E179" s="284"/>
      <c r="F179" s="284"/>
      <c r="G179" s="284"/>
      <c r="H179" s="284"/>
      <c r="I179" s="284"/>
      <c r="J179" s="284"/>
      <c r="K179" s="284"/>
      <c r="L179" s="284"/>
      <c r="M179" s="284"/>
      <c r="N179" s="284"/>
      <c r="O179" s="284"/>
      <c r="P179" s="284"/>
      <c r="Q179" s="284"/>
      <c r="R179" s="284"/>
    </row>
    <row r="180" spans="2:18">
      <c r="B180" s="123" t="s">
        <v>215</v>
      </c>
      <c r="C180" s="147">
        <f>SUM(D180:N180)</f>
        <v>-25430473</v>
      </c>
      <c r="D180" s="147">
        <f>-IF(AND(D$70&gt;Assumptions!$D$6,D$70&lt;=Assumptions!$E$6),'Sources&amp;Uses'!$H$17/ROUNDUP(Assumptions!$E$2/12,0),0)</f>
        <v>0</v>
      </c>
      <c r="E180" s="147">
        <f>-IF(AND(E$70&gt;Assumptions!$D$6,E$70&lt;=Assumptions!$E$6),'Sources&amp;Uses'!$H$17/ROUNDUP(Assumptions!$E$2/12,0),0)</f>
        <v>-25430473</v>
      </c>
      <c r="F180" s="147">
        <f>-IF(AND(F$70&gt;Assumptions!$D$6,F$70&lt;=Assumptions!$E$6),'Sources&amp;Uses'!$H$17/ROUNDUP(Assumptions!$E$2/12,0),0)</f>
        <v>0</v>
      </c>
      <c r="G180" s="147">
        <f>-IF(AND(G$70&gt;Assumptions!$D$6,G$70&lt;=Assumptions!$E$6),'Sources&amp;Uses'!$H$17/ROUNDUP(Assumptions!$E$2/12,0),0)</f>
        <v>0</v>
      </c>
      <c r="H180" s="147">
        <f>-IF(AND(H$70&gt;Assumptions!$D$6,H$70&lt;=Assumptions!$E$6),'Sources&amp;Uses'!$H$17/ROUNDUP(Assumptions!$E$2/12,0),0)</f>
        <v>0</v>
      </c>
      <c r="I180" s="147">
        <f>-IF(AND(I$70&gt;Assumptions!$D$6,I$70&lt;=Assumptions!$E$6),'Sources&amp;Uses'!$H$17/ROUNDUP(Assumptions!$E$2/12,0),0)</f>
        <v>0</v>
      </c>
      <c r="J180" s="147">
        <f>-IF(AND(J$70&gt;Assumptions!$D$6,J$70&lt;=Assumptions!$E$6),'Sources&amp;Uses'!$H$17/ROUNDUP(Assumptions!$E$2/12,0),0)</f>
        <v>0</v>
      </c>
      <c r="K180" s="147">
        <f>-IF(AND(K$70&gt;Assumptions!$D$6,K$70&lt;=Assumptions!$E$6),'Sources&amp;Uses'!$H$17/ROUNDUP(Assumptions!$E$2/12,0),0)</f>
        <v>0</v>
      </c>
      <c r="L180" s="147">
        <f>-IF(AND(L$70&gt;Assumptions!$D$6,L$70&lt;=Assumptions!$E$6),'Sources&amp;Uses'!$H$17/ROUNDUP(Assumptions!$E$2/12,0),0)</f>
        <v>0</v>
      </c>
      <c r="M180" s="147">
        <f>-IF(AND(M$70&gt;Assumptions!$D$6,M$70&lt;=Assumptions!$E$6),'Sources&amp;Uses'!$H$17/ROUNDUP(Assumptions!$E$2/12,0),0)</f>
        <v>0</v>
      </c>
      <c r="N180" s="147">
        <f>-IF(AND(N$70&gt;Assumptions!$D$6,N$70&lt;=Assumptions!$E$6),'Sources&amp;Uses'!$H$17/ROUNDUP(Assumptions!$E$2/12,0),0)</f>
        <v>0</v>
      </c>
      <c r="O180" s="147">
        <f>-IF(AND(O$70&gt;Assumptions!$D$6,O$70&lt;=Assumptions!$E$6),'Sources&amp;Uses'!$H$17/ROUNDUP(Assumptions!$E$2/12,0),0)</f>
        <v>0</v>
      </c>
      <c r="P180" s="147">
        <f>-IF(AND(P$70&gt;Assumptions!$D$6,P$70&lt;=Assumptions!$E$6),'Sources&amp;Uses'!$H$17/ROUNDUP(Assumptions!$E$2/12,0),0)</f>
        <v>0</v>
      </c>
      <c r="Q180" s="147">
        <f>-IF(AND(Q$70&gt;Assumptions!$D$6,Q$70&lt;=Assumptions!$E$6),'Sources&amp;Uses'!$H$17/ROUNDUP(Assumptions!$E$2/12,0),0)</f>
        <v>0</v>
      </c>
      <c r="R180" s="147">
        <f>-IF(AND(R$70&gt;Assumptions!$D$6,R$70&lt;=Assumptions!$E$6),'Sources&amp;Uses'!$H$17/ROUNDUP(Assumptions!$E$2/12,0),0)</f>
        <v>0</v>
      </c>
    </row>
    <row r="181" spans="2:18">
      <c r="B181" s="123" t="s">
        <v>66</v>
      </c>
      <c r="C181" s="147">
        <f t="shared" ref="C181" ca="1" si="142">SUM(D181:N181)</f>
        <v>-6202313.3740976304</v>
      </c>
      <c r="D181" s="147">
        <f>-IF(AND(D$70&gt;Assumptions!$E$6,D$70&lt;=Assumptions!$F$6),'Sources&amp;Uses'!$H$18/ROUNDUP(Assumptions!$F$2/12,0),0)</f>
        <v>0</v>
      </c>
      <c r="E181" s="147">
        <f>-IF(AND(E$70&gt;Assumptions!$E$6,E$70&lt;=Assumptions!$F$6),'Sources&amp;Uses'!$H$18/ROUNDUP(Assumptions!$F$2/12,0),0)</f>
        <v>0</v>
      </c>
      <c r="F181" s="147">
        <f ca="1">-IF(AND(F$70&gt;Assumptions!$E$6,F$70&lt;=Assumptions!$F$6),'Sources&amp;Uses'!$H$18/ROUNDUP(Assumptions!$F$2/12,0),0)</f>
        <v>-2067437.7913658768</v>
      </c>
      <c r="G181" s="147">
        <f ca="1">-IF(AND(G$70&gt;Assumptions!$E$6,G$70&lt;=Assumptions!$F$6),'Sources&amp;Uses'!$H$18/ROUNDUP(Assumptions!$F$2/12,0),0)</f>
        <v>-2067437.7913658768</v>
      </c>
      <c r="H181" s="147">
        <f ca="1">-IF(AND(H$70&gt;Assumptions!$E$6,H$70&lt;=Assumptions!$F$6),'Sources&amp;Uses'!$H$18/ROUNDUP(Assumptions!$F$2/12,0),0)</f>
        <v>-2067437.7913658768</v>
      </c>
      <c r="I181" s="147">
        <f>-IF(AND(I$70&gt;Assumptions!$E$6,I$70&lt;=Assumptions!$F$6),'Sources&amp;Uses'!$H$18/ROUNDUP(Assumptions!$F$2/12,0),0)</f>
        <v>0</v>
      </c>
      <c r="J181" s="147">
        <f>-IF(AND(J$70&gt;Assumptions!$E$6,J$70&lt;=Assumptions!$F$6),'Sources&amp;Uses'!$H$18/ROUNDUP(Assumptions!$F$2/12,0),0)</f>
        <v>0</v>
      </c>
      <c r="K181" s="147">
        <f>-IF(AND(K$70&gt;Assumptions!$E$6,K$70&lt;=Assumptions!$F$6),'Sources&amp;Uses'!$H$18/ROUNDUP(Assumptions!$F$2/12,0),0)</f>
        <v>0</v>
      </c>
      <c r="L181" s="147">
        <f>-IF(AND(L$70&gt;Assumptions!$E$6,L$70&lt;=Assumptions!$F$6),'Sources&amp;Uses'!$H$18/ROUNDUP(Assumptions!$F$2/12,0),0)</f>
        <v>0</v>
      </c>
      <c r="M181" s="147">
        <f>-IF(AND(M$70&gt;Assumptions!$E$6,M$70&lt;=Assumptions!$F$6),'Sources&amp;Uses'!$H$18/ROUNDUP(Assumptions!$F$2/12,0),0)</f>
        <v>0</v>
      </c>
      <c r="N181" s="147">
        <f>-IF(AND(N$70&gt;Assumptions!$E$6,N$70&lt;=Assumptions!$F$6),'Sources&amp;Uses'!$H$18/ROUNDUP(Assumptions!$F$2/12,0),0)</f>
        <v>0</v>
      </c>
      <c r="O181" s="147">
        <f>-IF(AND(O$70&gt;Assumptions!$E$6,O$70&lt;=Assumptions!$F$6),'Sources&amp;Uses'!$H$18/ROUNDUP(Assumptions!$F$2/12,0),0)</f>
        <v>0</v>
      </c>
      <c r="P181" s="147">
        <f>-IF(AND(P$70&gt;Assumptions!$E$6,P$70&lt;=Assumptions!$F$6),'Sources&amp;Uses'!$H$18/ROUNDUP(Assumptions!$F$2/12,0),0)</f>
        <v>0</v>
      </c>
      <c r="Q181" s="147">
        <f>-IF(AND(Q$70&gt;Assumptions!$E$6,Q$70&lt;=Assumptions!$F$6),'Sources&amp;Uses'!$H$18/ROUNDUP(Assumptions!$F$2/12,0),0)</f>
        <v>0</v>
      </c>
      <c r="R181" s="147">
        <f>-IF(AND(R$70&gt;Assumptions!$E$6,R$70&lt;=Assumptions!$F$6),'Sources&amp;Uses'!$H$18/ROUNDUP(Assumptions!$F$2/12,0),0)</f>
        <v>0</v>
      </c>
    </row>
    <row r="182" spans="2:18">
      <c r="B182" s="123" t="s">
        <v>17</v>
      </c>
      <c r="C182" s="147">
        <f ca="1">SUM(D182:N182)</f>
        <v>-213461281.96719182</v>
      </c>
      <c r="D182" s="147">
        <f>-IF(AND(D$70&gt;Assumptions!$E$6,D$70&lt;=Assumptions!$F$6),'Sources&amp;Uses'!$H$19/ROUNDUP(Assumptions!$F$2/12,0),0)</f>
        <v>0</v>
      </c>
      <c r="E182" s="147">
        <f>-IF(AND(E$70&gt;Assumptions!$E$6,E$70&lt;=Assumptions!$F$6),'Sources&amp;Uses'!$H$19/ROUNDUP(Assumptions!$F$2/12,0),0)</f>
        <v>0</v>
      </c>
      <c r="F182" s="147">
        <f ca="1">-IF(AND(F$70&gt;Assumptions!$E$6,F$70&lt;=Assumptions!$F$6),'Sources&amp;Uses'!$H$19/ROUNDUP(Assumptions!$F$2/12,0),0)</f>
        <v>-71153760.655730605</v>
      </c>
      <c r="G182" s="147">
        <f ca="1">-IF(AND(G$70&gt;Assumptions!$E$6,G$70&lt;=Assumptions!$F$6),'Sources&amp;Uses'!$H$19/ROUNDUP(Assumptions!$F$2/12,0),0)</f>
        <v>-71153760.655730605</v>
      </c>
      <c r="H182" s="147">
        <f ca="1">-IF(AND(H$70&gt;Assumptions!$E$6,H$70&lt;=Assumptions!$F$6),'Sources&amp;Uses'!$H$19/ROUNDUP(Assumptions!$F$2/12,0),0)</f>
        <v>-71153760.655730605</v>
      </c>
      <c r="I182" s="147">
        <f>-IF(AND(I$70&gt;Assumptions!$E$6,I$70&lt;=Assumptions!$F$6),'Sources&amp;Uses'!$H$19/ROUNDUP(Assumptions!$F$2/12,0),0)</f>
        <v>0</v>
      </c>
      <c r="J182" s="147">
        <f>-IF(AND(J$70&gt;Assumptions!$E$6,J$70&lt;=Assumptions!$F$6),'Sources&amp;Uses'!$H$19/ROUNDUP(Assumptions!$F$2/12,0),0)</f>
        <v>0</v>
      </c>
      <c r="K182" s="147">
        <f>-IF(AND(K$70&gt;Assumptions!$E$6,K$70&lt;=Assumptions!$F$6),'Sources&amp;Uses'!$H$19/ROUNDUP(Assumptions!$F$2/12,0),0)</f>
        <v>0</v>
      </c>
      <c r="L182" s="147">
        <f>-IF(AND(L$70&gt;Assumptions!$E$6,L$70&lt;=Assumptions!$F$6),'Sources&amp;Uses'!$H$19/ROUNDUP(Assumptions!$F$2/12,0),0)</f>
        <v>0</v>
      </c>
      <c r="M182" s="147">
        <f>-IF(AND(M$70&gt;Assumptions!$E$6,M$70&lt;=Assumptions!$F$6),'Sources&amp;Uses'!$H$19/ROUNDUP(Assumptions!$F$2/12,0),0)</f>
        <v>0</v>
      </c>
      <c r="N182" s="147">
        <f>-IF(AND(N$70&gt;Assumptions!$E$6,N$70&lt;=Assumptions!$F$6),'Sources&amp;Uses'!$H$19/ROUNDUP(Assumptions!$F$2/12,0),0)</f>
        <v>0</v>
      </c>
      <c r="O182" s="147">
        <f>-IF(AND(O$70&gt;Assumptions!$E$6,O$70&lt;=Assumptions!$F$6),'Sources&amp;Uses'!$H$19/ROUNDUP(Assumptions!$F$2/12,0),0)</f>
        <v>0</v>
      </c>
      <c r="P182" s="147">
        <f>-IF(AND(P$70&gt;Assumptions!$E$6,P$70&lt;=Assumptions!$F$6),'Sources&amp;Uses'!$H$19/ROUNDUP(Assumptions!$F$2/12,0),0)</f>
        <v>0</v>
      </c>
      <c r="Q182" s="147">
        <f>-IF(AND(Q$70&gt;Assumptions!$E$6,Q$70&lt;=Assumptions!$F$6),'Sources&amp;Uses'!$H$19/ROUNDUP(Assumptions!$F$2/12,0),0)</f>
        <v>0</v>
      </c>
      <c r="R182" s="147">
        <f>-IF(AND(R$70&gt;Assumptions!$E$6,R$70&lt;=Assumptions!$F$6),'Sources&amp;Uses'!$H$19/ROUNDUP(Assumptions!$F$2/12,0),0)</f>
        <v>0</v>
      </c>
    </row>
    <row r="183" spans="2:18">
      <c r="B183" s="123" t="s">
        <v>19</v>
      </c>
      <c r="C183" s="147">
        <f t="shared" ref="C183:C187" ca="1" si="143">SUM(D183:N183)</f>
        <v>-54915898.835322365</v>
      </c>
      <c r="D183" s="147">
        <f>-IF(AND(D$70&gt;Assumptions!$E$6,D$70&lt;=Assumptions!$F$6),'Sources&amp;Uses'!$H$20/ROUNDUP(Assumptions!$F$2/12,0),0)</f>
        <v>0</v>
      </c>
      <c r="E183" s="147">
        <f>-IF(AND(E$70&gt;Assumptions!$E$6,E$70&lt;=Assumptions!$F$6),'Sources&amp;Uses'!$H$20/ROUNDUP(Assumptions!$F$2/12,0),0)</f>
        <v>0</v>
      </c>
      <c r="F183" s="147">
        <f ca="1">-IF(AND(F$70&gt;Assumptions!$E$6,F$70&lt;=Assumptions!$F$6),'Sources&amp;Uses'!$H$20/ROUNDUP(Assumptions!$F$2/12,0),0)</f>
        <v>-18305299.61177412</v>
      </c>
      <c r="G183" s="147">
        <f ca="1">-IF(AND(G$70&gt;Assumptions!$E$6,G$70&lt;=Assumptions!$F$6),'Sources&amp;Uses'!$H$20/ROUNDUP(Assumptions!$F$2/12,0),0)</f>
        <v>-18305299.61177412</v>
      </c>
      <c r="H183" s="147">
        <f ca="1">-IF(AND(H$70&gt;Assumptions!$E$6,H$70&lt;=Assumptions!$F$6),'Sources&amp;Uses'!$H$20/ROUNDUP(Assumptions!$F$2/12,0),0)</f>
        <v>-18305299.61177412</v>
      </c>
      <c r="I183" s="147">
        <f>-IF(AND(I$70&gt;Assumptions!$E$6,I$70&lt;=Assumptions!$F$6),'Sources&amp;Uses'!$H$20/ROUNDUP(Assumptions!$F$2/12,0),0)</f>
        <v>0</v>
      </c>
      <c r="J183" s="147">
        <f>-IF(AND(J$70&gt;Assumptions!$E$6,J$70&lt;=Assumptions!$F$6),'Sources&amp;Uses'!$H$20/ROUNDUP(Assumptions!$F$2/12,0),0)</f>
        <v>0</v>
      </c>
      <c r="K183" s="147">
        <f>-IF(AND(K$70&gt;Assumptions!$E$6,K$70&lt;=Assumptions!$F$6),'Sources&amp;Uses'!$H$20/ROUNDUP(Assumptions!$F$2/12,0),0)</f>
        <v>0</v>
      </c>
      <c r="L183" s="147">
        <f>-IF(AND(L$70&gt;Assumptions!$E$6,L$70&lt;=Assumptions!$F$6),'Sources&amp;Uses'!$H$20/ROUNDUP(Assumptions!$F$2/12,0),0)</f>
        <v>0</v>
      </c>
      <c r="M183" s="147">
        <f>-IF(AND(M$70&gt;Assumptions!$E$6,M$70&lt;=Assumptions!$F$6),'Sources&amp;Uses'!$H$20/ROUNDUP(Assumptions!$F$2/12,0),0)</f>
        <v>0</v>
      </c>
      <c r="N183" s="147">
        <f>-IF(AND(N$70&gt;Assumptions!$E$6,N$70&lt;=Assumptions!$F$6),'Sources&amp;Uses'!$H$20/ROUNDUP(Assumptions!$F$2/12,0),0)</f>
        <v>0</v>
      </c>
      <c r="O183" s="147">
        <f>-IF(AND(O$70&gt;Assumptions!$E$6,O$70&lt;=Assumptions!$F$6),'Sources&amp;Uses'!$H$20/ROUNDUP(Assumptions!$F$2/12,0),0)</f>
        <v>0</v>
      </c>
      <c r="P183" s="147">
        <f>-IF(AND(P$70&gt;Assumptions!$E$6,P$70&lt;=Assumptions!$F$6),'Sources&amp;Uses'!$H$20/ROUNDUP(Assumptions!$F$2/12,0),0)</f>
        <v>0</v>
      </c>
      <c r="Q183" s="147">
        <f>-IF(AND(Q$70&gt;Assumptions!$E$6,Q$70&lt;=Assumptions!$F$6),'Sources&amp;Uses'!$H$20/ROUNDUP(Assumptions!$F$2/12,0),0)</f>
        <v>0</v>
      </c>
      <c r="R183" s="147">
        <f>-IF(AND(R$70&gt;Assumptions!$E$6,R$70&lt;=Assumptions!$F$6),'Sources&amp;Uses'!$H$20/ROUNDUP(Assumptions!$F$2/12,0),0)</f>
        <v>0</v>
      </c>
    </row>
    <row r="184" spans="2:18">
      <c r="B184" s="123" t="s">
        <v>33</v>
      </c>
      <c r="C184" s="147">
        <f t="shared" ca="1" si="143"/>
        <v>-18749872.951355934</v>
      </c>
      <c r="D184" s="147">
        <f>-IF(AND(D$70&gt;Assumptions!$E$6,D$70&lt;=Assumptions!$F$6),'Sources&amp;Uses'!$H21/ROUNDUP(Assumptions!$F$2/12,0),0)</f>
        <v>0</v>
      </c>
      <c r="E184" s="147">
        <f>-IF(AND(E$70&gt;Assumptions!$E$6,E$70&lt;=Assumptions!$F$6),'Sources&amp;Uses'!$H21/ROUNDUP(Assumptions!$F$2/12,0),0)</f>
        <v>0</v>
      </c>
      <c r="F184" s="147">
        <f ca="1">-IF(AND(F$70&gt;Assumptions!$E$6,F$70&lt;=Assumptions!$F$6),'Sources&amp;Uses'!$H21/ROUNDUP(Assumptions!$F$2/12,0),0)</f>
        <v>-6249957.6504519777</v>
      </c>
      <c r="G184" s="147">
        <f ca="1">-IF(AND(G$70&gt;Assumptions!$E$6,G$70&lt;=Assumptions!$F$6),'Sources&amp;Uses'!$H21/ROUNDUP(Assumptions!$F$2/12,0),0)</f>
        <v>-6249957.6504519777</v>
      </c>
      <c r="H184" s="147">
        <f ca="1">-IF(AND(H$70&gt;Assumptions!$E$6,H$70&lt;=Assumptions!$F$6),'Sources&amp;Uses'!$H21/ROUNDUP(Assumptions!$F$2/12,0),0)</f>
        <v>-6249957.6504519777</v>
      </c>
      <c r="I184" s="147">
        <f>-IF(AND(I$70&gt;Assumptions!$E$6,I$70&lt;=Assumptions!$F$6),'Sources&amp;Uses'!$H21/ROUNDUP(Assumptions!$F$2/12,0),0)</f>
        <v>0</v>
      </c>
      <c r="J184" s="147">
        <f>-IF(AND(J$70&gt;Assumptions!$E$6,J$70&lt;=Assumptions!$F$6),'Sources&amp;Uses'!$H21/ROUNDUP(Assumptions!$F$2/12,0),0)</f>
        <v>0</v>
      </c>
      <c r="K184" s="147">
        <f>-IF(AND(K$70&gt;Assumptions!$E$6,K$70&lt;=Assumptions!$F$6),'Sources&amp;Uses'!$H21/ROUNDUP(Assumptions!$F$2/12,0),0)</f>
        <v>0</v>
      </c>
      <c r="L184" s="147">
        <f>-IF(AND(L$70&gt;Assumptions!$E$6,L$70&lt;=Assumptions!$F$6),'Sources&amp;Uses'!$H21/ROUNDUP(Assumptions!$F$2/12,0),0)</f>
        <v>0</v>
      </c>
      <c r="M184" s="147">
        <f>-IF(AND(M$70&gt;Assumptions!$E$6,M$70&lt;=Assumptions!$F$6),'Sources&amp;Uses'!$H21/ROUNDUP(Assumptions!$F$2/12,0),0)</f>
        <v>0</v>
      </c>
      <c r="N184" s="147">
        <f>-IF(AND(N$70&gt;Assumptions!$E$6,N$70&lt;=Assumptions!$F$6),'Sources&amp;Uses'!$H21/ROUNDUP(Assumptions!$F$2/12,0),0)</f>
        <v>0</v>
      </c>
      <c r="O184" s="147">
        <f>-IF(AND(O$70&gt;Assumptions!$E$6,O$70&lt;=Assumptions!$F$6),'Sources&amp;Uses'!$H21/ROUNDUP(Assumptions!$F$2/12,0),0)</f>
        <v>0</v>
      </c>
      <c r="P184" s="147">
        <f>-IF(AND(P$70&gt;Assumptions!$E$6,P$70&lt;=Assumptions!$F$6),'Sources&amp;Uses'!$H21/ROUNDUP(Assumptions!$F$2/12,0),0)</f>
        <v>0</v>
      </c>
      <c r="Q184" s="147">
        <f>-IF(AND(Q$70&gt;Assumptions!$E$6,Q$70&lt;=Assumptions!$F$6),'Sources&amp;Uses'!$H21/ROUNDUP(Assumptions!$F$2/12,0),0)</f>
        <v>0</v>
      </c>
      <c r="R184" s="147">
        <f>-IF(AND(R$70&gt;Assumptions!$E$6,R$70&lt;=Assumptions!$F$6),'Sources&amp;Uses'!$H21/ROUNDUP(Assumptions!$F$2/12,0),0)</f>
        <v>0</v>
      </c>
    </row>
    <row r="185" spans="2:18">
      <c r="B185" s="123" t="s">
        <v>22</v>
      </c>
      <c r="C185" s="147">
        <f t="shared" si="143"/>
        <v>-333333.33333333331</v>
      </c>
      <c r="D185" s="147">
        <f>-IF(AND(D$70&gt;Assumptions!$E$6,D$70&lt;=Assumptions!$F$6),'Sources&amp;Uses'!$H$22/ROUNDUP(Assumptions!$F$2/12,0),0)</f>
        <v>0</v>
      </c>
      <c r="E185" s="147">
        <f>-IF(AND(E$70&gt;Assumptions!$E$6,E$70&lt;=Assumptions!$F$6),'Sources&amp;Uses'!$H$22/ROUNDUP(Assumptions!$F$2/12,0),0)</f>
        <v>0</v>
      </c>
      <c r="F185" s="147">
        <f>-IF(AND(F$70&gt;Assumptions!$E$6,F$70&lt;=Assumptions!$F$6),'Sources&amp;Uses'!$H$22/ROUNDUP(Assumptions!$F$2/12,0),0)</f>
        <v>-111111.11111111111</v>
      </c>
      <c r="G185" s="147">
        <f>-IF(AND(G$70&gt;Assumptions!$E$6,G$70&lt;=Assumptions!$F$6),'Sources&amp;Uses'!$H$22/ROUNDUP(Assumptions!$F$2/12,0),0)</f>
        <v>-111111.11111111111</v>
      </c>
      <c r="H185" s="147">
        <f>-IF(AND(H$70&gt;Assumptions!$E$6,H$70&lt;=Assumptions!$F$6),'Sources&amp;Uses'!$H$22/ROUNDUP(Assumptions!$F$2/12,0),0)</f>
        <v>-111111.11111111111</v>
      </c>
      <c r="I185" s="147">
        <f>-IF(AND(I$70&gt;Assumptions!$E$6,I$70&lt;=Assumptions!$F$6),'Sources&amp;Uses'!$H$22/ROUNDUP(Assumptions!$F$2/12,0),0)</f>
        <v>0</v>
      </c>
      <c r="J185" s="147">
        <f>-IF(AND(J$70&gt;Assumptions!$E$6,J$70&lt;=Assumptions!$F$6),'Sources&amp;Uses'!$H$22/ROUNDUP(Assumptions!$F$2/12,0),0)</f>
        <v>0</v>
      </c>
      <c r="K185" s="147">
        <f>-IF(AND(K$70&gt;Assumptions!$E$6,K$70&lt;=Assumptions!$F$6),'Sources&amp;Uses'!$H$22/ROUNDUP(Assumptions!$F$2/12,0),0)</f>
        <v>0</v>
      </c>
      <c r="L185" s="147">
        <f>-IF(AND(L$70&gt;Assumptions!$E$6,L$70&lt;=Assumptions!$F$6),'Sources&amp;Uses'!$H$22/ROUNDUP(Assumptions!$F$2/12,0),0)</f>
        <v>0</v>
      </c>
      <c r="M185" s="147">
        <f>-IF(AND(M$70&gt;Assumptions!$E$6,M$70&lt;=Assumptions!$F$6),'Sources&amp;Uses'!$H$22/ROUNDUP(Assumptions!$F$2/12,0),0)</f>
        <v>0</v>
      </c>
      <c r="N185" s="147">
        <f>-IF(AND(N$70&gt;Assumptions!$E$6,N$70&lt;=Assumptions!$F$6),'Sources&amp;Uses'!$H$22/ROUNDUP(Assumptions!$F$2/12,0),0)</f>
        <v>0</v>
      </c>
      <c r="O185" s="147">
        <f>-IF(AND(O$70&gt;Assumptions!$E$6,O$70&lt;=Assumptions!$F$6),'Sources&amp;Uses'!$H$22/ROUNDUP(Assumptions!$F$2/12,0),0)</f>
        <v>0</v>
      </c>
      <c r="P185" s="147">
        <f>-IF(AND(P$70&gt;Assumptions!$E$6,P$70&lt;=Assumptions!$F$6),'Sources&amp;Uses'!$H$22/ROUNDUP(Assumptions!$F$2/12,0),0)</f>
        <v>0</v>
      </c>
      <c r="Q185" s="147">
        <f>-IF(AND(Q$70&gt;Assumptions!$E$6,Q$70&lt;=Assumptions!$F$6),'Sources&amp;Uses'!$H$22/ROUNDUP(Assumptions!$F$2/12,0),0)</f>
        <v>0</v>
      </c>
      <c r="R185" s="147">
        <f>-IF(AND(R$70&gt;Assumptions!$E$6,R$70&lt;=Assumptions!$F$6),'Sources&amp;Uses'!$H$22/ROUNDUP(Assumptions!$F$2/12,0),0)</f>
        <v>0</v>
      </c>
    </row>
    <row r="186" spans="2:18">
      <c r="B186" s="123" t="s">
        <v>238</v>
      </c>
      <c r="C186" s="147">
        <f t="shared" ca="1" si="143"/>
        <v>-8247384.825298354</v>
      </c>
      <c r="D186" s="147">
        <f>-IF(AND(D$70&gt;Assumptions!$E$6,D$70&lt;=Assumptions!$F$6),'Sources&amp;Uses'!$H$23/ROUNDUP(Assumptions!$F$2/12,0),0)</f>
        <v>0</v>
      </c>
      <c r="E186" s="147">
        <f>-IF(AND(E$70&gt;Assumptions!$E$6,E$70&lt;=Assumptions!$F$6),'Sources&amp;Uses'!$H$23/ROUNDUP(Assumptions!$F$2/12,0),0)</f>
        <v>0</v>
      </c>
      <c r="F186" s="147">
        <f ca="1">-IF(AND(F$70&gt;Assumptions!$E$6,F$70&lt;=Assumptions!$F$6),'Sources&amp;Uses'!$H$23/ROUNDUP(Assumptions!$F$2/12,0),0)</f>
        <v>-2749128.2750994512</v>
      </c>
      <c r="G186" s="147">
        <f ca="1">-IF(AND(G$70&gt;Assumptions!$E$6,G$70&lt;=Assumptions!$F$6),'Sources&amp;Uses'!$H$23/ROUNDUP(Assumptions!$F$2/12,0),0)</f>
        <v>-2749128.2750994512</v>
      </c>
      <c r="H186" s="147">
        <f ca="1">-IF(AND(H$70&gt;Assumptions!$E$6,H$70&lt;=Assumptions!$F$6),'Sources&amp;Uses'!$H$23/ROUNDUP(Assumptions!$F$2/12,0),0)</f>
        <v>-2749128.2750994512</v>
      </c>
      <c r="I186" s="147">
        <f>-IF(AND(I$70&gt;Assumptions!$E$6,I$70&lt;=Assumptions!$F$6),'Sources&amp;Uses'!$H$23/ROUNDUP(Assumptions!$F$2/12,0),0)</f>
        <v>0</v>
      </c>
      <c r="J186" s="147">
        <f>-IF(AND(J$70&gt;Assumptions!$E$6,J$70&lt;=Assumptions!$F$6),'Sources&amp;Uses'!$H$23/ROUNDUP(Assumptions!$F$2/12,0),0)</f>
        <v>0</v>
      </c>
      <c r="K186" s="147">
        <f>-IF(AND(K$70&gt;Assumptions!$E$6,K$70&lt;=Assumptions!$F$6),'Sources&amp;Uses'!$H$23/ROUNDUP(Assumptions!$F$2/12,0),0)</f>
        <v>0</v>
      </c>
      <c r="L186" s="147">
        <f>-IF(AND(L$70&gt;Assumptions!$E$6,L$70&lt;=Assumptions!$F$6),'Sources&amp;Uses'!$H$23/ROUNDUP(Assumptions!$F$2/12,0),0)</f>
        <v>0</v>
      </c>
      <c r="M186" s="147">
        <f>-IF(AND(M$70&gt;Assumptions!$E$6,M$70&lt;=Assumptions!$F$6),'Sources&amp;Uses'!$H$23/ROUNDUP(Assumptions!$F$2/12,0),0)</f>
        <v>0</v>
      </c>
      <c r="N186" s="147">
        <f>-IF(AND(N$70&gt;Assumptions!$E$6,N$70&lt;=Assumptions!$F$6),'Sources&amp;Uses'!$H$23/ROUNDUP(Assumptions!$F$2/12,0),0)</f>
        <v>0</v>
      </c>
      <c r="O186" s="147">
        <f>-IF(AND(O$70&gt;Assumptions!$E$6,O$70&lt;=Assumptions!$F$6),'Sources&amp;Uses'!$H$23/ROUNDUP(Assumptions!$F$2/12,0),0)</f>
        <v>0</v>
      </c>
      <c r="P186" s="147">
        <f>-IF(AND(P$70&gt;Assumptions!$E$6,P$70&lt;=Assumptions!$F$6),'Sources&amp;Uses'!$H$23/ROUNDUP(Assumptions!$F$2/12,0),0)</f>
        <v>0</v>
      </c>
      <c r="Q186" s="147">
        <f>-IF(AND(Q$70&gt;Assumptions!$E$6,Q$70&lt;=Assumptions!$F$6),'Sources&amp;Uses'!$H$23/ROUNDUP(Assumptions!$F$2/12,0),0)</f>
        <v>0</v>
      </c>
      <c r="R186" s="147">
        <f>-IF(AND(R$70&gt;Assumptions!$E$6,R$70&lt;=Assumptions!$F$6),'Sources&amp;Uses'!$H$23/ROUNDUP(Assumptions!$F$2/12,0),0)</f>
        <v>0</v>
      </c>
    </row>
    <row r="187" spans="2:18">
      <c r="B187" s="125" t="s">
        <v>58</v>
      </c>
      <c r="C187" s="147">
        <f t="shared" ca="1" si="143"/>
        <v>-327340558.2865994</v>
      </c>
      <c r="D187" s="147">
        <f>SUM(D180:D186)</f>
        <v>0</v>
      </c>
      <c r="E187" s="147">
        <f t="shared" ref="E187:N187" si="144">SUM(E180:E186)</f>
        <v>-25430473</v>
      </c>
      <c r="F187" s="147">
        <f t="shared" ca="1" si="144"/>
        <v>-100636695.09553313</v>
      </c>
      <c r="G187" s="147">
        <f t="shared" ca="1" si="144"/>
        <v>-100636695.09553313</v>
      </c>
      <c r="H187" s="147">
        <f t="shared" ca="1" si="144"/>
        <v>-100636695.09553313</v>
      </c>
      <c r="I187" s="147">
        <f t="shared" si="144"/>
        <v>0</v>
      </c>
      <c r="J187" s="147">
        <f t="shared" si="144"/>
        <v>0</v>
      </c>
      <c r="K187" s="147">
        <f t="shared" si="144"/>
        <v>0</v>
      </c>
      <c r="L187" s="147">
        <f t="shared" si="144"/>
        <v>0</v>
      </c>
      <c r="M187" s="147">
        <f t="shared" si="144"/>
        <v>0</v>
      </c>
      <c r="N187" s="147">
        <f t="shared" si="144"/>
        <v>0</v>
      </c>
      <c r="O187" s="147">
        <f t="shared" ref="O187" si="145">SUM(O180:O186)</f>
        <v>0</v>
      </c>
      <c r="P187" s="147">
        <f t="shared" ref="P187" si="146">SUM(P180:P186)</f>
        <v>0</v>
      </c>
      <c r="Q187" s="147">
        <f t="shared" ref="Q187" si="147">SUM(Q180:Q186)</f>
        <v>0</v>
      </c>
      <c r="R187" s="147">
        <f t="shared" ref="R187" si="148">SUM(R180:R186)</f>
        <v>0</v>
      </c>
    </row>
    <row r="188" spans="2:18">
      <c r="B188" s="125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</row>
    <row r="189" spans="2:18" ht="18">
      <c r="B189" s="302" t="s">
        <v>439</v>
      </c>
      <c r="C189" s="280"/>
      <c r="D189" s="285"/>
      <c r="E189" s="286"/>
      <c r="F189" s="286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</row>
    <row r="190" spans="2:18">
      <c r="B190" s="123" t="str">
        <f>'Sources&amp;Uses'!$C$3</f>
        <v>Equity</v>
      </c>
      <c r="C190" s="147">
        <f ca="1">-C187-SUM(C152:C157,C159)</f>
        <v>258070020.43086404</v>
      </c>
      <c r="D190" s="147">
        <f ca="1">MIN($C$190,-'Phase III Pro Forma'!D187)</f>
        <v>0</v>
      </c>
      <c r="E190" s="147">
        <f ca="1">MIN($C$190-SUM($D$190:D190),-'Phase III Pro Forma'!E187)</f>
        <v>25430473</v>
      </c>
      <c r="F190" s="147">
        <f ca="1">MIN($C$190-SUM($D$190:E190),-'Phase III Pro Forma'!F187)</f>
        <v>100636695.09553313</v>
      </c>
      <c r="G190" s="147">
        <f ca="1">MIN($C$190-SUM($D$190:F190),-'Phase III Pro Forma'!G187)</f>
        <v>100636695.09553313</v>
      </c>
      <c r="H190" s="147">
        <f ca="1">MIN($C$190-SUM($D$190:G190),-'Phase III Pro Forma'!H187)</f>
        <v>31366157.239797771</v>
      </c>
      <c r="I190" s="147">
        <f ca="1">MIN($C$190-SUM($D$190:H190),-'Phase III Pro Forma'!I187)</f>
        <v>0</v>
      </c>
      <c r="J190" s="147">
        <f ca="1">MIN($C$190-SUM($D$190:I190),-'Phase III Pro Forma'!J187)</f>
        <v>0</v>
      </c>
      <c r="K190" s="147">
        <f ca="1">MIN($C$190-SUM($D$190:J190),-'Phase III Pro Forma'!K187)</f>
        <v>0</v>
      </c>
      <c r="L190" s="147">
        <f ca="1">MIN($C$190-SUM($D$190:K190),-'Phase III Pro Forma'!L187)</f>
        <v>0</v>
      </c>
      <c r="M190" s="147">
        <f ca="1">MIN($C$190-SUM($D$190:L190),-'Phase III Pro Forma'!M187)</f>
        <v>0</v>
      </c>
      <c r="N190" s="147">
        <f ca="1">MIN($C$190-SUM($D$190:M190),-'Phase III Pro Forma'!N187)</f>
        <v>0</v>
      </c>
      <c r="O190" s="147">
        <f ca="1">MIN($C$190-SUM($D$190:N190),-'Phase III Pro Forma'!O187)</f>
        <v>0</v>
      </c>
      <c r="P190" s="147">
        <f ca="1">MIN($C$190-SUM($D$190:O190),-'Phase III Pro Forma'!P187)</f>
        <v>0</v>
      </c>
      <c r="Q190" s="147">
        <f ca="1">MIN($C$190-SUM($D$190:P190),-'Phase III Pro Forma'!Q187)</f>
        <v>0</v>
      </c>
      <c r="R190" s="147">
        <f ca="1">MIN($C$190-SUM($D$190:Q190),-'Phase III Pro Forma'!R187)</f>
        <v>0</v>
      </c>
    </row>
    <row r="191" spans="2:18">
      <c r="B191" s="123" t="str">
        <f>'Sources&amp;Uses'!$C$4</f>
        <v>PPP - City of Oakland/Alameda County</v>
      </c>
      <c r="C191" s="147">
        <f ca="1">SUM(D191:N191)</f>
        <v>6202313.3740976304</v>
      </c>
      <c r="D191" s="147">
        <f ca="1">MIN('Sources&amp;Uses'!$H$4,-'Phase III Pro Forma'!D$187-SUM('Phase III Pro Forma'!D$190:'Phase III Pro Forma'!D190))</f>
        <v>0</v>
      </c>
      <c r="E191" s="147">
        <f ca="1">MIN('Sources&amp;Uses'!$H$4,-'Phase III Pro Forma'!E$187-SUM('Phase III Pro Forma'!E$190:'Phase III Pro Forma'!E190))</f>
        <v>0</v>
      </c>
      <c r="F191" s="147">
        <f ca="1">MIN('Sources&amp;Uses'!$H$4,-'Phase III Pro Forma'!F$187-SUM('Phase III Pro Forma'!F$190:'Phase III Pro Forma'!F190))</f>
        <v>0</v>
      </c>
      <c r="G191" s="147">
        <f ca="1">MIN('Sources&amp;Uses'!$H$4,-'Phase III Pro Forma'!G$187-SUM('Phase III Pro Forma'!G$190:'Phase III Pro Forma'!G190))</f>
        <v>0</v>
      </c>
      <c r="H191" s="147">
        <f ca="1">MIN('Sources&amp;Uses'!$H$4,-'Phase III Pro Forma'!H$187-SUM('Phase III Pro Forma'!H$190:'Phase III Pro Forma'!H190))</f>
        <v>6202313.3740976304</v>
      </c>
      <c r="I191" s="147">
        <f ca="1">MIN('Sources&amp;Uses'!$H$4,-'Phase III Pro Forma'!I$187-SUM('Phase III Pro Forma'!I$190:'Phase III Pro Forma'!I190))</f>
        <v>0</v>
      </c>
      <c r="J191" s="147">
        <f ca="1">MIN('Sources&amp;Uses'!$H$4,-'Phase III Pro Forma'!J$187-SUM('Phase III Pro Forma'!J$190:'Phase III Pro Forma'!J190))</f>
        <v>0</v>
      </c>
      <c r="K191" s="147">
        <f ca="1">MIN('Sources&amp;Uses'!$H$4,-'Phase III Pro Forma'!K$187-SUM('Phase III Pro Forma'!K$190:'Phase III Pro Forma'!K190))</f>
        <v>0</v>
      </c>
      <c r="L191" s="147">
        <f ca="1">MIN('Sources&amp;Uses'!$H$4,-'Phase III Pro Forma'!L$187-SUM('Phase III Pro Forma'!L$190:'Phase III Pro Forma'!L190))</f>
        <v>0</v>
      </c>
      <c r="M191" s="147">
        <f ca="1">MIN('Sources&amp;Uses'!$H$4,-'Phase III Pro Forma'!M$187-SUM('Phase III Pro Forma'!M$190:'Phase III Pro Forma'!M190))</f>
        <v>0</v>
      </c>
      <c r="N191" s="147">
        <f ca="1">MIN('Sources&amp;Uses'!$H$4,-'Phase III Pro Forma'!N$187-SUM('Phase III Pro Forma'!N$190:'Phase III Pro Forma'!N190))</f>
        <v>0</v>
      </c>
      <c r="O191" s="147">
        <f ca="1">MIN('Sources&amp;Uses'!$H$4,-'Phase III Pro Forma'!O$187-SUM('Phase III Pro Forma'!O$190:'Phase III Pro Forma'!O190))</f>
        <v>0</v>
      </c>
      <c r="P191" s="147">
        <f ca="1">MIN('Sources&amp;Uses'!$H$4,-'Phase III Pro Forma'!P$187-SUM('Phase III Pro Forma'!P$190:'Phase III Pro Forma'!P190))</f>
        <v>0</v>
      </c>
      <c r="Q191" s="147">
        <f ca="1">MIN('Sources&amp;Uses'!$H$4,-'Phase III Pro Forma'!Q$187-SUM('Phase III Pro Forma'!Q$190:'Phase III Pro Forma'!Q190))</f>
        <v>0</v>
      </c>
      <c r="R191" s="147">
        <f ca="1">MIN('Sources&amp;Uses'!$H$4,-'Phase III Pro Forma'!R$187-SUM('Phase III Pro Forma'!R$190:'Phase III Pro Forma'!R190))</f>
        <v>0</v>
      </c>
    </row>
    <row r="192" spans="2:18">
      <c r="B192" s="123" t="str">
        <f>'Sources&amp;Uses'!$C$5</f>
        <v>PPP - Private Partners</v>
      </c>
      <c r="C192" s="147">
        <f ca="1">SUM(D192:N192)</f>
        <v>1304183.3335874998</v>
      </c>
      <c r="D192" s="147">
        <f ca="1">MIN('Sources&amp;Uses'!$H$5,-'Phase III Pro Forma'!D$187-SUM('Phase III Pro Forma'!D$190:'Phase III Pro Forma'!D191))</f>
        <v>0</v>
      </c>
      <c r="E192" s="147">
        <f ca="1">MIN('Sources&amp;Uses'!$H$5,-'Phase III Pro Forma'!E$187-SUM('Phase III Pro Forma'!E$190:'Phase III Pro Forma'!E191))</f>
        <v>0</v>
      </c>
      <c r="F192" s="147">
        <f ca="1">MIN('Sources&amp;Uses'!$H$5,-'Phase III Pro Forma'!F$187-SUM('Phase III Pro Forma'!F$190:'Phase III Pro Forma'!F191))</f>
        <v>0</v>
      </c>
      <c r="G192" s="147">
        <f ca="1">MIN('Sources&amp;Uses'!$H$5,-'Phase III Pro Forma'!G$187-SUM('Phase III Pro Forma'!G$190:'Phase III Pro Forma'!G191))</f>
        <v>0</v>
      </c>
      <c r="H192" s="147">
        <f ca="1">MIN('Sources&amp;Uses'!$H$5,-'Phase III Pro Forma'!H$187-SUM('Phase III Pro Forma'!H$190:'Phase III Pro Forma'!H191))</f>
        <v>1304183.3335874998</v>
      </c>
      <c r="I192" s="147">
        <f ca="1">MIN('Sources&amp;Uses'!$H$5,-'Phase III Pro Forma'!I$187-SUM('Phase III Pro Forma'!I$190:'Phase III Pro Forma'!I191))</f>
        <v>0</v>
      </c>
      <c r="J192" s="147">
        <f ca="1">MIN('Sources&amp;Uses'!$H$5,-'Phase III Pro Forma'!J$187-SUM('Phase III Pro Forma'!J$190:'Phase III Pro Forma'!J191))</f>
        <v>0</v>
      </c>
      <c r="K192" s="147">
        <f ca="1">MIN('Sources&amp;Uses'!$H$5,-'Phase III Pro Forma'!K$187-SUM('Phase III Pro Forma'!K$190:'Phase III Pro Forma'!K191))</f>
        <v>0</v>
      </c>
      <c r="L192" s="147">
        <f ca="1">MIN('Sources&amp;Uses'!$H$5,-'Phase III Pro Forma'!L$187-SUM('Phase III Pro Forma'!L$190:'Phase III Pro Forma'!L191))</f>
        <v>0</v>
      </c>
      <c r="M192" s="147">
        <f ca="1">MIN('Sources&amp;Uses'!$H$5,-'Phase III Pro Forma'!M$187-SUM('Phase III Pro Forma'!M$190:'Phase III Pro Forma'!M191))</f>
        <v>0</v>
      </c>
      <c r="N192" s="147">
        <f ca="1">MIN('Sources&amp;Uses'!$H$5,-'Phase III Pro Forma'!N$187-SUM('Phase III Pro Forma'!N$190:'Phase III Pro Forma'!N191))</f>
        <v>0</v>
      </c>
      <c r="O192" s="147">
        <f ca="1">MIN('Sources&amp;Uses'!$H$5,-'Phase III Pro Forma'!O$187-SUM('Phase III Pro Forma'!O$190:'Phase III Pro Forma'!O191))</f>
        <v>0</v>
      </c>
      <c r="P192" s="147">
        <f ca="1">MIN('Sources&amp;Uses'!$H$5,-'Phase III Pro Forma'!P$187-SUM('Phase III Pro Forma'!P$190:'Phase III Pro Forma'!P191))</f>
        <v>0</v>
      </c>
      <c r="Q192" s="147">
        <f ca="1">MIN('Sources&amp;Uses'!$H$5,-'Phase III Pro Forma'!Q$187-SUM('Phase III Pro Forma'!Q$190:'Phase III Pro Forma'!Q191))</f>
        <v>0</v>
      </c>
      <c r="R192" s="147">
        <f ca="1">MIN('Sources&amp;Uses'!$H$5,-'Phase III Pro Forma'!R$187-SUM('Phase III Pro Forma'!R$190:'Phase III Pro Forma'!R191))</f>
        <v>0</v>
      </c>
    </row>
    <row r="193" spans="2:18">
      <c r="B193" s="123" t="str">
        <f>'Sources&amp;Uses'!$C$6</f>
        <v xml:space="preserve">LIHTC </v>
      </c>
      <c r="C193" s="147">
        <f ca="1">SUM(D193:N193)</f>
        <v>45846415.798134804</v>
      </c>
      <c r="D193" s="147">
        <f ca="1">MIN('Sources&amp;Uses'!$H$6,-'Phase III Pro Forma'!D$187-SUM(D190:D192))</f>
        <v>0</v>
      </c>
      <c r="E193" s="147">
        <f ca="1">MIN('Sources&amp;Uses'!$H$6,-'Phase III Pro Forma'!E$187-SUM(E190:E192))</f>
        <v>0</v>
      </c>
      <c r="F193" s="147">
        <f ca="1">MIN('Sources&amp;Uses'!$H$6,-'Phase III Pro Forma'!F$187-SUM(F190:F192))</f>
        <v>0</v>
      </c>
      <c r="G193" s="147">
        <f ca="1">MIN('Sources&amp;Uses'!$H$6,-'Phase III Pro Forma'!G$187-SUM(G190:G192))</f>
        <v>0</v>
      </c>
      <c r="H193" s="147">
        <f ca="1">MIN('Sources&amp;Uses'!$H$6,-'Phase III Pro Forma'!H$187-SUM(H190:H192))</f>
        <v>45846415.798134804</v>
      </c>
      <c r="I193" s="147">
        <f ca="1">MIN('Sources&amp;Uses'!$H$6,-'Phase III Pro Forma'!I$187-SUM(I190:I192))</f>
        <v>0</v>
      </c>
      <c r="J193" s="147">
        <f ca="1">MIN('Sources&amp;Uses'!$H$6,-'Phase III Pro Forma'!J$187-SUM(J190:J192))</f>
        <v>0</v>
      </c>
      <c r="K193" s="147">
        <f ca="1">MIN('Sources&amp;Uses'!$H$6,-'Phase III Pro Forma'!K$187-SUM(K190:K192))</f>
        <v>0</v>
      </c>
      <c r="L193" s="147">
        <f ca="1">MIN('Sources&amp;Uses'!$H$6,-'Phase III Pro Forma'!L$187-SUM(L190:L192))</f>
        <v>0</v>
      </c>
      <c r="M193" s="147">
        <f ca="1">MIN('Sources&amp;Uses'!$H$6,-'Phase III Pro Forma'!M$187-SUM(M190:M192))</f>
        <v>0</v>
      </c>
      <c r="N193" s="147">
        <f ca="1">MIN('Sources&amp;Uses'!$H$6,-'Phase III Pro Forma'!N$187-SUM(N190:N192))</f>
        <v>0</v>
      </c>
      <c r="O193" s="147">
        <f ca="1">MIN('Sources&amp;Uses'!$H$6,-'Phase III Pro Forma'!O$187-SUM(O190:O192))</f>
        <v>0</v>
      </c>
      <c r="P193" s="147">
        <f ca="1">MIN('Sources&amp;Uses'!$H$6,-'Phase III Pro Forma'!P$187-SUM(P190:P192))</f>
        <v>0</v>
      </c>
      <c r="Q193" s="147">
        <f ca="1">MIN('Sources&amp;Uses'!$H$6,-'Phase III Pro Forma'!Q$187-SUM(Q190:Q192))</f>
        <v>0</v>
      </c>
      <c r="R193" s="147">
        <f ca="1">MIN('Sources&amp;Uses'!$H$6,-'Phase III Pro Forma'!R$187-SUM(R190:R192))</f>
        <v>0</v>
      </c>
    </row>
    <row r="194" spans="2:18">
      <c r="B194" s="123" t="str">
        <f>'Sources&amp;Uses'!$C$8</f>
        <v>CA TOD Housing Program (Infrastructure Grant)</v>
      </c>
      <c r="C194" s="147">
        <f ca="1">SUM(D194:N194)</f>
        <v>0</v>
      </c>
      <c r="D194" s="147">
        <f ca="1">MIN('Sources&amp;Uses'!$H$8,-'Phase III Pro Forma'!D$187-SUM(D190:D193))</f>
        <v>0</v>
      </c>
      <c r="E194" s="147">
        <f ca="1">MIN('Sources&amp;Uses'!$H$8,-'Phase III Pro Forma'!E$187-SUM(E190:E193))</f>
        <v>0</v>
      </c>
      <c r="F194" s="147">
        <f ca="1">MIN('Sources&amp;Uses'!$H$8,-'Phase III Pro Forma'!F$187-SUM(F190:F193))</f>
        <v>0</v>
      </c>
      <c r="G194" s="147">
        <f ca="1">MIN('Sources&amp;Uses'!$H$8,-'Phase III Pro Forma'!G$187-SUM(G190:G193))</f>
        <v>0</v>
      </c>
      <c r="H194" s="147">
        <f ca="1">MIN('Sources&amp;Uses'!$H$8,-'Phase III Pro Forma'!H$187-SUM(H190:H193))</f>
        <v>0</v>
      </c>
      <c r="I194" s="147">
        <f ca="1">MIN('Sources&amp;Uses'!$H$8,-'Phase III Pro Forma'!I$187-SUM(I190:I193))</f>
        <v>0</v>
      </c>
      <c r="J194" s="147">
        <f ca="1">MIN('Sources&amp;Uses'!$H$8,-'Phase III Pro Forma'!J$187-SUM(J190:J193))</f>
        <v>0</v>
      </c>
      <c r="K194" s="147">
        <f ca="1">MIN('Sources&amp;Uses'!$H$8,-'Phase III Pro Forma'!K$187-SUM(K190:K193))</f>
        <v>0</v>
      </c>
      <c r="L194" s="147">
        <f ca="1">MIN('Sources&amp;Uses'!$H$8,-'Phase III Pro Forma'!L$187-SUM(L190:L193))</f>
        <v>0</v>
      </c>
      <c r="M194" s="147">
        <f ca="1">MIN('Sources&amp;Uses'!$H$8,-'Phase III Pro Forma'!M$187-SUM(M190:M193))</f>
        <v>0</v>
      </c>
      <c r="N194" s="147">
        <f ca="1">MIN('Sources&amp;Uses'!$H$8,-'Phase III Pro Forma'!N$187-SUM(N190:N193))</f>
        <v>0</v>
      </c>
      <c r="O194" s="147">
        <f ca="1">MIN('Sources&amp;Uses'!$H$8,-'Phase III Pro Forma'!O$187-SUM(O190:O193))</f>
        <v>0</v>
      </c>
      <c r="P194" s="147">
        <f ca="1">MIN('Sources&amp;Uses'!$H$8,-'Phase III Pro Forma'!P$187-SUM(P190:P193))</f>
        <v>0</v>
      </c>
      <c r="Q194" s="147">
        <f ca="1">MIN('Sources&amp;Uses'!$H$8,-'Phase III Pro Forma'!Q$187-SUM(Q190:Q193))</f>
        <v>0</v>
      </c>
      <c r="R194" s="147">
        <f ca="1">MIN('Sources&amp;Uses'!$H$8,-'Phase III Pro Forma'!R$187-SUM(R190:R193))</f>
        <v>0</v>
      </c>
    </row>
    <row r="195" spans="2:18">
      <c r="B195" s="123">
        <f>'Sources&amp;Uses'!$C$9</f>
        <v>0</v>
      </c>
      <c r="C195" s="147">
        <f ca="1">SUM(D195:N195)</f>
        <v>15917625.34991543</v>
      </c>
      <c r="D195" s="147">
        <f ca="1">MIN('Sources&amp;Uses'!$H$9,-'Phase III Pro Forma'!D$187-SUM(D190:D194))</f>
        <v>0</v>
      </c>
      <c r="E195" s="147">
        <f ca="1">MIN('Sources&amp;Uses'!$H$9,-'Phase III Pro Forma'!E$187-SUM(E190:E194))</f>
        <v>0</v>
      </c>
      <c r="F195" s="147">
        <f ca="1">MIN('Sources&amp;Uses'!$H$9,-'Phase III Pro Forma'!F$187-SUM(F190:F194))</f>
        <v>0</v>
      </c>
      <c r="G195" s="147">
        <f ca="1">MIN('Sources&amp;Uses'!$H$9,-'Phase III Pro Forma'!G$187-SUM(G190:G194))</f>
        <v>0</v>
      </c>
      <c r="H195" s="147">
        <f ca="1">MIN('Sources&amp;Uses'!$H$9,-'Phase III Pro Forma'!H$187-SUM(H190:H194))</f>
        <v>15917625.34991543</v>
      </c>
      <c r="I195" s="147">
        <f ca="1">MIN('Sources&amp;Uses'!$H$9,-'Phase III Pro Forma'!I$187-SUM(I190:I194))</f>
        <v>0</v>
      </c>
      <c r="J195" s="147">
        <f ca="1">MIN('Sources&amp;Uses'!$H$9,-'Phase III Pro Forma'!J$187-SUM(J190:J194))</f>
        <v>0</v>
      </c>
      <c r="K195" s="147">
        <f ca="1">MIN('Sources&amp;Uses'!$H$9,-'Phase III Pro Forma'!K$187-SUM(K190:K194))</f>
        <v>0</v>
      </c>
      <c r="L195" s="147">
        <f ca="1">MIN('Sources&amp;Uses'!$H$9,-'Phase III Pro Forma'!L$187-SUM(L190:L194))</f>
        <v>0</v>
      </c>
      <c r="M195" s="147">
        <f ca="1">MIN('Sources&amp;Uses'!$H$9,-'Phase III Pro Forma'!M$187-SUM(M190:M194))</f>
        <v>0</v>
      </c>
      <c r="N195" s="147">
        <f ca="1">MIN('Sources&amp;Uses'!$H$9,-'Phase III Pro Forma'!N$187-SUM(N190:N194))</f>
        <v>0</v>
      </c>
      <c r="O195" s="147">
        <f ca="1">MIN('Sources&amp;Uses'!$H$9,-'Phase III Pro Forma'!O$187-SUM(O190:O194))</f>
        <v>0</v>
      </c>
      <c r="P195" s="147">
        <f ca="1">MIN('Sources&amp;Uses'!$H$9,-'Phase III Pro Forma'!P$187-SUM(P190:P194))</f>
        <v>0</v>
      </c>
      <c r="Q195" s="147">
        <f ca="1">MIN('Sources&amp;Uses'!$H$9,-'Phase III Pro Forma'!Q$187-SUM(Q190:Q194))</f>
        <v>0</v>
      </c>
      <c r="R195" s="147">
        <f ca="1">MIN('Sources&amp;Uses'!$H$9,-'Phase III Pro Forma'!R$187-SUM(R190:R194))</f>
        <v>0</v>
      </c>
    </row>
    <row r="196" spans="2:18">
      <c r="B196" s="123" t="str">
        <f>'Sources&amp;Uses'!$C$10</f>
        <v>CA Strategic Growth Council (Aff Housing and Sustainable Communities)</v>
      </c>
      <c r="C196" s="147">
        <f ca="1">SUM(D196:N196)</f>
        <v>0</v>
      </c>
      <c r="D196" s="147">
        <f ca="1">MIN('Sources&amp;Uses'!$H$10,-'Phase III Pro Forma'!D$187-SUM(D190:D195))</f>
        <v>0</v>
      </c>
      <c r="E196" s="147">
        <f ca="1">MIN('Sources&amp;Uses'!$H$10,-'Phase III Pro Forma'!E$187-SUM(E190:E195))</f>
        <v>0</v>
      </c>
      <c r="F196" s="147">
        <f ca="1">MIN('Sources&amp;Uses'!$H$10,-'Phase III Pro Forma'!F$187-SUM(F190:F195))</f>
        <v>0</v>
      </c>
      <c r="G196" s="147">
        <f ca="1">MIN('Sources&amp;Uses'!$H$10,-'Phase III Pro Forma'!G$187-SUM(G190:G195))</f>
        <v>0</v>
      </c>
      <c r="H196" s="147">
        <f ca="1">MIN('Sources&amp;Uses'!$H$10,-'Phase III Pro Forma'!H$187-SUM(H190:H195))</f>
        <v>0</v>
      </c>
      <c r="I196" s="147">
        <f ca="1">MIN('Sources&amp;Uses'!$H$10,-'Phase III Pro Forma'!I$187-SUM(I190:I195))</f>
        <v>0</v>
      </c>
      <c r="J196" s="147">
        <f ca="1">MIN('Sources&amp;Uses'!$H$10,-'Phase III Pro Forma'!J$187-SUM(J190:J195))</f>
        <v>0</v>
      </c>
      <c r="K196" s="147">
        <f ca="1">MIN('Sources&amp;Uses'!$H$10,-'Phase III Pro Forma'!K$187-SUM(K190:K195))</f>
        <v>0</v>
      </c>
      <c r="L196" s="147">
        <f ca="1">MIN('Sources&amp;Uses'!$H$10,-'Phase III Pro Forma'!L$187-SUM(L190:L195))</f>
        <v>0</v>
      </c>
      <c r="M196" s="147">
        <f ca="1">MIN('Sources&amp;Uses'!$H$10,-'Phase III Pro Forma'!M$187-SUM(M190:M195))</f>
        <v>0</v>
      </c>
      <c r="N196" s="147">
        <f ca="1">MIN('Sources&amp;Uses'!$H$10,-'Phase III Pro Forma'!N$187-SUM(N190:N195))</f>
        <v>0</v>
      </c>
      <c r="O196" s="147">
        <f ca="1">MIN('Sources&amp;Uses'!$H$10,-'Phase III Pro Forma'!O$187-SUM(O190:O195))</f>
        <v>0</v>
      </c>
      <c r="P196" s="147">
        <f ca="1">MIN('Sources&amp;Uses'!$H$10,-'Phase III Pro Forma'!P$187-SUM(P190:P195))</f>
        <v>0</v>
      </c>
      <c r="Q196" s="147">
        <f ca="1">MIN('Sources&amp;Uses'!$H$10,-'Phase III Pro Forma'!Q$187-SUM(Q190:Q195))</f>
        <v>0</v>
      </c>
      <c r="R196" s="147">
        <f ca="1">MIN('Sources&amp;Uses'!$H$10,-'Phase III Pro Forma'!R$187-SUM(R190:R195))</f>
        <v>0</v>
      </c>
    </row>
    <row r="197" spans="2:18">
      <c r="B197" s="123" t="str">
        <f>'Sources&amp;Uses'!$C$11</f>
        <v>Senior Construction Loan</v>
      </c>
      <c r="C197" s="147">
        <f>SUM(D197:N197)</f>
        <v>0</v>
      </c>
      <c r="D197" s="147">
        <v>0</v>
      </c>
      <c r="E197" s="147">
        <v>0</v>
      </c>
      <c r="F197" s="147">
        <v>0</v>
      </c>
      <c r="G197" s="147">
        <v>0</v>
      </c>
      <c r="H197" s="147">
        <v>0</v>
      </c>
      <c r="I197" s="147">
        <v>0</v>
      </c>
      <c r="J197" s="147">
        <v>0</v>
      </c>
      <c r="K197" s="147">
        <v>0</v>
      </c>
      <c r="L197" s="147">
        <v>0</v>
      </c>
      <c r="M197" s="147">
        <v>0</v>
      </c>
      <c r="N197" s="147">
        <v>0</v>
      </c>
      <c r="O197" s="147">
        <v>1</v>
      </c>
      <c r="P197" s="147">
        <v>2</v>
      </c>
      <c r="Q197" s="147">
        <v>3</v>
      </c>
      <c r="R197" s="147">
        <v>4</v>
      </c>
    </row>
    <row r="198" spans="2:18">
      <c r="B198" s="123" t="str">
        <f>'Sources&amp;Uses'!$C$12</f>
        <v>TIF Loan</v>
      </c>
      <c r="C198" s="147">
        <f ca="1">SUM(D198:N198)</f>
        <v>0</v>
      </c>
      <c r="D198" s="147">
        <f ca="1">MIN('Sources&amp;Uses'!$H$12,-'Phase III Pro Forma'!D$187-SUM(D190:D197))</f>
        <v>0</v>
      </c>
      <c r="E198" s="147">
        <f ca="1">MIN('Sources&amp;Uses'!$H$12,-'Phase III Pro Forma'!E$187-SUM(E190:E197))</f>
        <v>0</v>
      </c>
      <c r="F198" s="147">
        <f ca="1">MIN('Sources&amp;Uses'!$H$12,-'Phase III Pro Forma'!F$187-SUM(F190:F197))</f>
        <v>0</v>
      </c>
      <c r="G198" s="147">
        <f ca="1">MIN('Sources&amp;Uses'!$H$12,-'Phase III Pro Forma'!G$187-SUM(G190:G197))</f>
        <v>0</v>
      </c>
      <c r="H198" s="147">
        <f ca="1">MIN('Sources&amp;Uses'!$H$12,-'Phase III Pro Forma'!H$187-SUM(H190:H197))</f>
        <v>0</v>
      </c>
      <c r="I198" s="147">
        <f ca="1">MIN('Sources&amp;Uses'!$H$12,-'Phase III Pro Forma'!I$187-SUM(I190:I197))</f>
        <v>0</v>
      </c>
      <c r="J198" s="147">
        <f ca="1">MIN('Sources&amp;Uses'!$H$12,-'Phase III Pro Forma'!J$187-SUM(J190:J197))</f>
        <v>0</v>
      </c>
      <c r="K198" s="147">
        <f ca="1">MIN('Sources&amp;Uses'!$H$12,-'Phase III Pro Forma'!K$187-SUM(K190:K197))</f>
        <v>0</v>
      </c>
      <c r="L198" s="147">
        <f ca="1">MIN('Sources&amp;Uses'!$H$12,-'Phase III Pro Forma'!L$187-SUM(L190:L197))</f>
        <v>0</v>
      </c>
      <c r="M198" s="147">
        <f ca="1">MIN('Sources&amp;Uses'!$H$12,-'Phase III Pro Forma'!M$187-SUM(M190:M197))</f>
        <v>0</v>
      </c>
      <c r="N198" s="147">
        <f ca="1">MIN('Sources&amp;Uses'!$H$12,-'Phase III Pro Forma'!N$187-SUM(N190:N197))</f>
        <v>0</v>
      </c>
      <c r="O198" s="147">
        <f ca="1">MIN('Sources&amp;Uses'!$H$12,-'Phase III Pro Forma'!O$187-SUM(O190:O197))</f>
        <v>-1</v>
      </c>
      <c r="P198" s="147">
        <f ca="1">MIN('Sources&amp;Uses'!$H$12,-'Phase III Pro Forma'!P$187-SUM(P190:P197))</f>
        <v>-2</v>
      </c>
      <c r="Q198" s="147">
        <f ca="1">MIN('Sources&amp;Uses'!$H$12,-'Phase III Pro Forma'!Q$187-SUM(Q190:Q197))</f>
        <v>-3</v>
      </c>
      <c r="R198" s="147">
        <f ca="1">MIN('Sources&amp;Uses'!$H$12,-'Phase III Pro Forma'!R$187-SUM(R190:R197))</f>
        <v>-4</v>
      </c>
    </row>
    <row r="199" spans="2:18">
      <c r="B199" s="125" t="s">
        <v>440</v>
      </c>
      <c r="C199" s="147">
        <f ca="1">SUM(D199:N199)</f>
        <v>327340558.2865994</v>
      </c>
      <c r="D199" s="147">
        <f ca="1">SUM(D190:D198)</f>
        <v>0</v>
      </c>
      <c r="E199" s="147">
        <f ca="1">SUM(E190:E198)</f>
        <v>25430473</v>
      </c>
      <c r="F199" s="147">
        <f ca="1">SUM(F190:F198)</f>
        <v>100636695.09553313</v>
      </c>
      <c r="G199" s="147">
        <f ca="1">SUM(G190:G198)</f>
        <v>100636695.09553313</v>
      </c>
      <c r="H199" s="147">
        <f ca="1">SUM(H190:H198)</f>
        <v>100636695.09553313</v>
      </c>
      <c r="I199" s="147">
        <f ca="1">SUM(I190:I198)</f>
        <v>0</v>
      </c>
      <c r="J199" s="147">
        <f ca="1">SUM(J190:J198)</f>
        <v>0</v>
      </c>
      <c r="K199" s="147">
        <f ca="1">SUM(K190:K198)</f>
        <v>0</v>
      </c>
      <c r="L199" s="147">
        <f ca="1">SUM(L190:L198)</f>
        <v>0</v>
      </c>
      <c r="M199" s="147">
        <f ca="1">SUM(M190:M198)</f>
        <v>0</v>
      </c>
      <c r="N199" s="147">
        <f ca="1">SUM(N190:N198)</f>
        <v>0</v>
      </c>
      <c r="O199" s="147">
        <f t="shared" ref="O199:R199" ca="1" si="149">SUM(O190:O198)</f>
        <v>0</v>
      </c>
      <c r="P199" s="147">
        <f t="shared" ca="1" si="149"/>
        <v>0</v>
      </c>
      <c r="Q199" s="147">
        <f t="shared" ca="1" si="149"/>
        <v>0</v>
      </c>
      <c r="R199" s="147">
        <f t="shared" ca="1" si="149"/>
        <v>0</v>
      </c>
    </row>
    <row r="200" spans="2:18">
      <c r="B200" s="125"/>
      <c r="C200" s="147"/>
      <c r="D200" s="34"/>
    </row>
    <row r="201" spans="2:18">
      <c r="B201" s="256" t="s">
        <v>441</v>
      </c>
      <c r="C201" s="147">
        <f ca="1">SUM(D201:N201)</f>
        <v>69270537.855735362</v>
      </c>
      <c r="D201" s="147">
        <f ca="1">D191+D192+D193+D195+D196+D198+D194</f>
        <v>0</v>
      </c>
      <c r="E201" s="147">
        <f t="shared" ref="E201:N201" ca="1" si="150">E191+E192+E193+E195+E196+E198+E194</f>
        <v>0</v>
      </c>
      <c r="F201" s="147">
        <f t="shared" ca="1" si="150"/>
        <v>0</v>
      </c>
      <c r="G201" s="147">
        <f t="shared" ca="1" si="150"/>
        <v>0</v>
      </c>
      <c r="H201" s="147">
        <f t="shared" ca="1" si="150"/>
        <v>69270537.855735362</v>
      </c>
      <c r="I201" s="147">
        <f t="shared" ca="1" si="150"/>
        <v>0</v>
      </c>
      <c r="J201" s="147">
        <f t="shared" ca="1" si="150"/>
        <v>0</v>
      </c>
      <c r="K201" s="147">
        <f t="shared" ca="1" si="150"/>
        <v>0</v>
      </c>
      <c r="L201" s="147">
        <f t="shared" ca="1" si="150"/>
        <v>0</v>
      </c>
      <c r="M201" s="147">
        <f t="shared" ca="1" si="150"/>
        <v>0</v>
      </c>
      <c r="N201" s="147">
        <f t="shared" ca="1" si="150"/>
        <v>0</v>
      </c>
      <c r="O201" s="147">
        <f t="shared" ref="O201:R201" ca="1" si="151">O191+O192+O193+O195+O196+O198+O194</f>
        <v>-1</v>
      </c>
      <c r="P201" s="147">
        <f t="shared" ca="1" si="151"/>
        <v>-2</v>
      </c>
      <c r="Q201" s="147">
        <f t="shared" ca="1" si="151"/>
        <v>-3</v>
      </c>
      <c r="R201" s="147">
        <f t="shared" ca="1" si="151"/>
        <v>-4</v>
      </c>
    </row>
    <row r="202" spans="2:18">
      <c r="B202" s="124"/>
      <c r="C202" s="296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</row>
    <row r="203" spans="2:18">
      <c r="B203" s="124"/>
      <c r="C203" s="296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</row>
    <row r="204" spans="2:18">
      <c r="B204" s="124" t="s">
        <v>443</v>
      </c>
      <c r="C204" s="147">
        <f ca="1">SUM(D204:N204)</f>
        <v>-258070020.43086404</v>
      </c>
      <c r="D204" s="147">
        <f ca="1">-D190</f>
        <v>0</v>
      </c>
      <c r="E204" s="147">
        <f t="shared" ref="E204:N204" ca="1" si="152">-E190</f>
        <v>-25430473</v>
      </c>
      <c r="F204" s="147">
        <f t="shared" ca="1" si="152"/>
        <v>-100636695.09553313</v>
      </c>
      <c r="G204" s="147">
        <f t="shared" ca="1" si="152"/>
        <v>-100636695.09553313</v>
      </c>
      <c r="H204" s="147">
        <f t="shared" ca="1" si="152"/>
        <v>-31366157.239797771</v>
      </c>
      <c r="I204" s="147">
        <f t="shared" ca="1" si="152"/>
        <v>0</v>
      </c>
      <c r="J204" s="147">
        <f t="shared" ca="1" si="152"/>
        <v>0</v>
      </c>
      <c r="K204" s="147">
        <f t="shared" ca="1" si="152"/>
        <v>0</v>
      </c>
      <c r="L204" s="147">
        <f t="shared" ca="1" si="152"/>
        <v>0</v>
      </c>
      <c r="M204" s="147">
        <f t="shared" ca="1" si="152"/>
        <v>0</v>
      </c>
      <c r="N204" s="147">
        <f t="shared" ca="1" si="152"/>
        <v>0</v>
      </c>
      <c r="O204" s="147">
        <f t="shared" ref="O204:R204" ca="1" si="153">-O190</f>
        <v>0</v>
      </c>
      <c r="P204" s="147">
        <f t="shared" ca="1" si="153"/>
        <v>0</v>
      </c>
      <c r="Q204" s="147">
        <f t="shared" ca="1" si="153"/>
        <v>0</v>
      </c>
      <c r="R204" s="147">
        <f t="shared" ca="1" si="153"/>
        <v>0</v>
      </c>
    </row>
    <row r="205" spans="2:18" ht="17.100000000000001" thickBot="1">
      <c r="B205" s="125" t="s">
        <v>444</v>
      </c>
      <c r="C205" s="147">
        <f ca="1">SUM(D205:N205)</f>
        <v>382864909.63378119</v>
      </c>
      <c r="D205" s="147">
        <f ca="1">IF(D69&lt;=YEAR(Assumptions!$H$6),D176+D177,0)</f>
        <v>0</v>
      </c>
      <c r="E205" s="147">
        <f ca="1">IF(E69&lt;=YEAR(Assumptions!$H$6),E176+E177,0)</f>
        <v>0</v>
      </c>
      <c r="F205" s="147">
        <f ca="1">IF(F69&lt;=YEAR(Assumptions!$H$6),F176+F177,0)</f>
        <v>0</v>
      </c>
      <c r="G205" s="147">
        <f ca="1">IF(G69&lt;=YEAR(Assumptions!$H$6),G176+G177,0)</f>
        <v>0</v>
      </c>
      <c r="H205" s="147">
        <f ca="1">IF(H69&lt;=YEAR(Assumptions!$H$6),H176+H177,0)</f>
        <v>14927823.553117314</v>
      </c>
      <c r="I205" s="147">
        <f ca="1">IF(I69&lt;=YEAR(Assumptions!$H$6),I176+I177,0)</f>
        <v>15351704.24336176</v>
      </c>
      <c r="J205" s="147">
        <f ca="1">IF(J69&lt;=YEAR(Assumptions!$H$6),J176+J177,0)</f>
        <v>352585381.83730209</v>
      </c>
      <c r="K205" s="147">
        <f>IF(K69&lt;=YEAR(Assumptions!$H$6),K176+K177,0)</f>
        <v>0</v>
      </c>
      <c r="L205" s="147">
        <f>IF(L69&lt;=YEAR(Assumptions!$H$6),L176+L177,0)</f>
        <v>0</v>
      </c>
      <c r="M205" s="147">
        <f>IF(M69&lt;=YEAR(Assumptions!$H$6),M176+M177,0)</f>
        <v>0</v>
      </c>
      <c r="N205" s="147">
        <f>IF(N69&lt;=YEAR(Assumptions!$H$6),N176+N177,0)</f>
        <v>0</v>
      </c>
      <c r="O205" s="147">
        <f>IF(O69&lt;=YEAR(Assumptions!$H$6),O176+O177,0)</f>
        <v>0</v>
      </c>
      <c r="P205" s="147">
        <f>IF(P69&lt;=YEAR(Assumptions!$H$6),P176+P177,0)</f>
        <v>0</v>
      </c>
      <c r="Q205" s="147">
        <f>IF(Q69&lt;=YEAR(Assumptions!$H$6),Q176+Q177,0)</f>
        <v>0</v>
      </c>
      <c r="R205" s="147">
        <f>IF(R69&lt;=YEAR(Assumptions!$H$6),R176+R177,0)</f>
        <v>0</v>
      </c>
    </row>
    <row r="206" spans="2:18" ht="17.100000000000001" thickBot="1">
      <c r="B206" s="299" t="s">
        <v>450</v>
      </c>
      <c r="C206" s="289">
        <f ca="1">SUM(D206:N206)</f>
        <v>124794889.20291713</v>
      </c>
      <c r="D206" s="289">
        <f ca="1">D205+D204</f>
        <v>0</v>
      </c>
      <c r="E206" s="289">
        <f t="shared" ref="E206:N206" ca="1" si="154">E205+E204</f>
        <v>-25430473</v>
      </c>
      <c r="F206" s="289">
        <f t="shared" ca="1" si="154"/>
        <v>-100636695.09553313</v>
      </c>
      <c r="G206" s="289">
        <f t="shared" ca="1" si="154"/>
        <v>-100636695.09553313</v>
      </c>
      <c r="H206" s="289">
        <f t="shared" ca="1" si="154"/>
        <v>-16438333.686680457</v>
      </c>
      <c r="I206" s="289">
        <f t="shared" ca="1" si="154"/>
        <v>15351704.24336176</v>
      </c>
      <c r="J206" s="289">
        <f t="shared" ca="1" si="154"/>
        <v>352585381.83730209</v>
      </c>
      <c r="K206" s="289">
        <f t="shared" ca="1" si="154"/>
        <v>0</v>
      </c>
      <c r="L206" s="289">
        <f t="shared" ca="1" si="154"/>
        <v>0</v>
      </c>
      <c r="M206" s="289">
        <f t="shared" ca="1" si="154"/>
        <v>0</v>
      </c>
      <c r="N206" s="290">
        <f t="shared" ca="1" si="154"/>
        <v>0</v>
      </c>
      <c r="O206" s="290">
        <f t="shared" ref="O206" ca="1" si="155">O205+O204</f>
        <v>0</v>
      </c>
      <c r="P206" s="290">
        <f t="shared" ref="P206" ca="1" si="156">P205+P204</f>
        <v>0</v>
      </c>
      <c r="Q206" s="290">
        <f t="shared" ref="Q206" ca="1" si="157">Q205+Q204</f>
        <v>0</v>
      </c>
      <c r="R206" s="290">
        <f t="shared" ref="R206" ca="1" si="158">R205+R204</f>
        <v>0</v>
      </c>
    </row>
    <row r="207" spans="2:18" ht="17.100000000000001" thickBot="1">
      <c r="B207" s="240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</row>
    <row r="208" spans="2:18">
      <c r="B208" s="292" t="s">
        <v>451</v>
      </c>
      <c r="C208" s="293">
        <f ca="1">IRR(D206:N206)</f>
        <v>0.12392692186863918</v>
      </c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</row>
    <row r="209" spans="2:14" ht="17.100000000000001" thickBot="1">
      <c r="B209" s="294" t="s">
        <v>447</v>
      </c>
      <c r="C209" s="295">
        <f ca="1">C205/-C204</f>
        <v>1.4835698815172886</v>
      </c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</row>
    <row r="210" spans="2:14">
      <c r="B210" s="240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</row>
    <row r="225" spans="2:4">
      <c r="B225" s="128"/>
      <c r="C225" s="259"/>
      <c r="D225" s="146"/>
    </row>
    <row r="226" spans="2:4">
      <c r="B226" s="128"/>
      <c r="C226" s="125"/>
      <c r="D226" s="146"/>
    </row>
    <row r="248" spans="2:3">
      <c r="B248" s="123"/>
      <c r="C248" s="123"/>
    </row>
    <row r="249" spans="2:3">
      <c r="B249" s="123"/>
      <c r="C249" s="123"/>
    </row>
    <row r="250" spans="2:3">
      <c r="B250" s="123"/>
      <c r="C250" s="123"/>
    </row>
    <row r="251" spans="2:3">
      <c r="B251" s="128"/>
      <c r="C251" s="128"/>
    </row>
    <row r="252" spans="2:3">
      <c r="B252" s="128"/>
      <c r="C252" s="128"/>
    </row>
    <row r="253" spans="2:3">
      <c r="B253" s="128"/>
      <c r="C253" s="128"/>
    </row>
    <row r="254" spans="2:3">
      <c r="B254" s="135"/>
      <c r="C254" s="135"/>
    </row>
    <row r="255" spans="2:3">
      <c r="B255" s="128"/>
      <c r="C255" s="128"/>
    </row>
    <row r="256" spans="2:3">
      <c r="B256" s="128"/>
      <c r="C256" s="128"/>
    </row>
    <row r="257" spans="2:3">
      <c r="B257" s="128"/>
      <c r="C257" s="128"/>
    </row>
    <row r="258" spans="2:3">
      <c r="B258" s="128"/>
      <c r="C258" s="128"/>
    </row>
    <row r="259" spans="2:3">
      <c r="B259" s="128"/>
      <c r="C259" s="128"/>
    </row>
    <row r="260" spans="2:3">
      <c r="B260" s="134"/>
      <c r="C260" s="134"/>
    </row>
    <row r="261" spans="2:3">
      <c r="B261" s="123"/>
      <c r="C261" s="123"/>
    </row>
    <row r="262" spans="2:3">
      <c r="B262" s="123"/>
      <c r="C262" s="123"/>
    </row>
    <row r="263" spans="2:3">
      <c r="B263" s="123"/>
      <c r="C263" s="123"/>
    </row>
    <row r="264" spans="2:3">
      <c r="B264" s="128"/>
      <c r="C264" s="128"/>
    </row>
    <row r="266" spans="2:3">
      <c r="B266" s="125"/>
      <c r="C266" s="125"/>
    </row>
    <row r="267" spans="2:3">
      <c r="B267" s="128"/>
      <c r="C267" s="128"/>
    </row>
    <row r="268" spans="2:3">
      <c r="B268" s="125"/>
      <c r="C268" s="125"/>
    </row>
    <row r="269" spans="2:3">
      <c r="B269" s="128"/>
      <c r="C269" s="128"/>
    </row>
    <row r="270" spans="2:3">
      <c r="B270" s="125"/>
      <c r="C270" s="125"/>
    </row>
    <row r="271" spans="2:3">
      <c r="B271" s="128"/>
      <c r="C271" s="128"/>
    </row>
    <row r="272" spans="2:3">
      <c r="B272" s="128"/>
      <c r="C272" s="128"/>
    </row>
    <row r="273" spans="2:3">
      <c r="B273" s="128"/>
      <c r="C273" s="128"/>
    </row>
    <row r="274" spans="2:3">
      <c r="B274" s="128"/>
      <c r="C274" s="128"/>
    </row>
    <row r="276" spans="2:3">
      <c r="B276" s="134"/>
      <c r="C276" s="134"/>
    </row>
    <row r="277" spans="2:3">
      <c r="B277" s="123"/>
      <c r="C277" s="123"/>
    </row>
    <row r="278" spans="2:3">
      <c r="B278" s="123"/>
      <c r="C278" s="123"/>
    </row>
    <row r="279" spans="2:3">
      <c r="B279" s="123"/>
      <c r="C279" s="123"/>
    </row>
    <row r="280" spans="2:3">
      <c r="B280" s="123"/>
      <c r="C280" s="123"/>
    </row>
    <row r="281" spans="2:3">
      <c r="B281" s="123"/>
      <c r="C281" s="123"/>
    </row>
    <row r="282" spans="2:3">
      <c r="B282" s="123"/>
      <c r="C282" s="123"/>
    </row>
    <row r="283" spans="2:3">
      <c r="B283" s="123"/>
      <c r="C283" s="123"/>
    </row>
    <row r="284" spans="2:3">
      <c r="B284" s="125"/>
      <c r="C284" s="125"/>
    </row>
    <row r="285" spans="2:3">
      <c r="B285" s="128"/>
      <c r="C285" s="128"/>
    </row>
    <row r="286" spans="2:3">
      <c r="B286" s="134"/>
      <c r="C286" s="134"/>
    </row>
    <row r="287" spans="2:3">
      <c r="B287" s="123"/>
      <c r="C287" s="123"/>
    </row>
    <row r="288" spans="2:3">
      <c r="B288" s="123"/>
      <c r="C288" s="123"/>
    </row>
    <row r="289" spans="2:3">
      <c r="B289" s="123"/>
      <c r="C289" s="123"/>
    </row>
    <row r="290" spans="2:3">
      <c r="B290" s="123"/>
      <c r="C290" s="123"/>
    </row>
    <row r="291" spans="2:3">
      <c r="B291" s="123"/>
      <c r="C291" s="123"/>
    </row>
    <row r="292" spans="2:3">
      <c r="B292" s="123"/>
      <c r="C292" s="123"/>
    </row>
    <row r="293" spans="2:3">
      <c r="B293" s="123"/>
      <c r="C293" s="123"/>
    </row>
    <row r="294" spans="2:3">
      <c r="B294" s="123"/>
      <c r="C294" s="123"/>
    </row>
    <row r="295" spans="2:3">
      <c r="B295" s="125"/>
      <c r="C295" s="125"/>
    </row>
    <row r="296" spans="2:3">
      <c r="B296" s="128"/>
      <c r="C296" s="128"/>
    </row>
    <row r="297" spans="2:3">
      <c r="B297" s="134"/>
      <c r="C297" s="134"/>
    </row>
    <row r="298" spans="2:3">
      <c r="B298" s="123"/>
      <c r="C298" s="123"/>
    </row>
    <row r="299" spans="2:3">
      <c r="B299" s="123"/>
      <c r="C299" s="123"/>
    </row>
    <row r="300" spans="2:3">
      <c r="B300" s="125"/>
      <c r="C300" s="125"/>
    </row>
    <row r="301" spans="2:3">
      <c r="B301" s="128"/>
      <c r="C301" s="128"/>
    </row>
    <row r="302" spans="2:3">
      <c r="B302" s="125"/>
      <c r="C302" s="125"/>
    </row>
    <row r="303" spans="2:3">
      <c r="B303" s="125"/>
      <c r="C303" s="125"/>
    </row>
    <row r="304" spans="2:3">
      <c r="B304" s="125"/>
      <c r="C304" s="125"/>
    </row>
    <row r="306" spans="2:4">
      <c r="B306" s="134"/>
      <c r="C306" s="134"/>
    </row>
    <row r="307" spans="2:4">
      <c r="B307" s="123"/>
      <c r="C307" s="123"/>
    </row>
    <row r="308" spans="2:4">
      <c r="B308" s="123"/>
      <c r="C308" s="123"/>
      <c r="D308" s="123"/>
    </row>
    <row r="309" spans="2:4">
      <c r="B309" s="123"/>
      <c r="C309" s="123"/>
      <c r="D309" s="123"/>
    </row>
    <row r="310" spans="2:4">
      <c r="B310" s="123"/>
      <c r="C310" s="123"/>
      <c r="D310" s="123"/>
    </row>
    <row r="311" spans="2:4">
      <c r="B311" s="123"/>
      <c r="C311" s="123"/>
      <c r="D311" s="123"/>
    </row>
    <row r="312" spans="2:4">
      <c r="B312" s="123"/>
      <c r="C312" s="123"/>
      <c r="D312" s="123"/>
    </row>
    <row r="313" spans="2:4">
      <c r="B313" s="123"/>
      <c r="C313" s="123"/>
      <c r="D313" s="123"/>
    </row>
    <row r="314" spans="2:4">
      <c r="B314" s="125"/>
      <c r="C314" s="125"/>
      <c r="D314" s="130"/>
    </row>
    <row r="315" spans="2:4">
      <c r="B315" s="128"/>
      <c r="C315" s="128"/>
      <c r="D315" s="123"/>
    </row>
    <row r="316" spans="2:4">
      <c r="B316" s="134"/>
      <c r="C316" s="134"/>
    </row>
    <row r="317" spans="2:4">
      <c r="B317" s="123"/>
      <c r="C317" s="123"/>
    </row>
    <row r="318" spans="2:4">
      <c r="B318" s="123"/>
      <c r="C318" s="123"/>
    </row>
    <row r="319" spans="2:4">
      <c r="B319" s="123"/>
      <c r="C319" s="123"/>
    </row>
    <row r="320" spans="2:4">
      <c r="B320" s="123"/>
      <c r="C320" s="123"/>
    </row>
    <row r="321" spans="2:3">
      <c r="B321" s="123"/>
      <c r="C321" s="123"/>
    </row>
    <row r="322" spans="2:3">
      <c r="B322" s="123"/>
      <c r="C322" s="123"/>
    </row>
    <row r="323" spans="2:3">
      <c r="B323" s="123"/>
      <c r="C323" s="123"/>
    </row>
    <row r="324" spans="2:3">
      <c r="B324" s="123"/>
      <c r="C324" s="123"/>
    </row>
    <row r="325" spans="2:3">
      <c r="B325" s="125"/>
      <c r="C325" s="125"/>
    </row>
    <row r="326" spans="2:3">
      <c r="B326" s="128"/>
      <c r="C326" s="128"/>
    </row>
    <row r="327" spans="2:3">
      <c r="B327" s="123"/>
      <c r="C327" s="123"/>
    </row>
    <row r="328" spans="2:3">
      <c r="B328" s="128"/>
      <c r="C328" s="128"/>
    </row>
    <row r="329" spans="2:3">
      <c r="B329" s="134"/>
      <c r="C329" s="134"/>
    </row>
    <row r="330" spans="2:3">
      <c r="B330" s="123"/>
      <c r="C330" s="123"/>
    </row>
    <row r="331" spans="2:3">
      <c r="B331" s="123"/>
      <c r="C331" s="123"/>
    </row>
    <row r="332" spans="2:3">
      <c r="B332" s="125"/>
      <c r="C332" s="125"/>
    </row>
    <row r="333" spans="2:3">
      <c r="B333" s="128"/>
      <c r="C333" s="128"/>
    </row>
    <row r="334" spans="2:3">
      <c r="B334" s="125"/>
      <c r="C334" s="125"/>
    </row>
    <row r="335" spans="2:3">
      <c r="B335" s="125"/>
      <c r="C335" s="125"/>
    </row>
    <row r="336" spans="2:3">
      <c r="B336" s="125"/>
      <c r="C336" s="125"/>
    </row>
    <row r="337" spans="2:3">
      <c r="B337" s="123"/>
      <c r="C337" s="123"/>
    </row>
    <row r="338" spans="2:3">
      <c r="B338" s="123"/>
      <c r="C338" s="123"/>
    </row>
    <row r="339" spans="2:3">
      <c r="B339" s="123"/>
      <c r="C339" s="123"/>
    </row>
    <row r="340" spans="2:3">
      <c r="B340" s="123"/>
      <c r="C340" s="123"/>
    </row>
    <row r="341" spans="2:3">
      <c r="B341" s="125"/>
      <c r="C341" s="125"/>
    </row>
    <row r="342" spans="2:3">
      <c r="B342" s="128"/>
      <c r="C342" s="128"/>
    </row>
    <row r="343" spans="2:3">
      <c r="B343" s="134"/>
      <c r="C343" s="134"/>
    </row>
    <row r="344" spans="2:3">
      <c r="B344" s="123"/>
      <c r="C344" s="123"/>
    </row>
    <row r="345" spans="2:3">
      <c r="B345" s="123"/>
      <c r="C345" s="123"/>
    </row>
    <row r="346" spans="2:3">
      <c r="B346" s="125"/>
      <c r="C346" s="125"/>
    </row>
    <row r="347" spans="2:3">
      <c r="B347" s="128"/>
      <c r="C347" s="128"/>
    </row>
    <row r="348" spans="2:3">
      <c r="B348" s="125"/>
      <c r="C348" s="125"/>
    </row>
    <row r="349" spans="2:3">
      <c r="B349" s="125"/>
      <c r="C349" s="125"/>
    </row>
    <row r="350" spans="2:3">
      <c r="B350" s="125"/>
      <c r="C350" s="125"/>
    </row>
    <row r="351" spans="2:3">
      <c r="B351" s="128"/>
      <c r="C351" s="128"/>
    </row>
    <row r="352" spans="2:3">
      <c r="B352" s="136" t="s">
        <v>452</v>
      </c>
      <c r="C352" s="136"/>
    </row>
    <row r="353" spans="2:3">
      <c r="B353" s="125"/>
      <c r="C353" s="125"/>
    </row>
    <row r="354" spans="2:3">
      <c r="B354" s="134"/>
      <c r="C354" s="134"/>
    </row>
    <row r="355" spans="2:3">
      <c r="B355" s="123"/>
      <c r="C355" s="123"/>
    </row>
    <row r="356" spans="2:3">
      <c r="B356" s="123"/>
      <c r="C356" s="123"/>
    </row>
    <row r="357" spans="2:3">
      <c r="B357" s="123"/>
      <c r="C357" s="123"/>
    </row>
    <row r="358" spans="2:3">
      <c r="B358" s="123"/>
      <c r="C358" s="123"/>
    </row>
    <row r="359" spans="2:3">
      <c r="B359" s="123"/>
      <c r="C359" s="123"/>
    </row>
    <row r="360" spans="2:3">
      <c r="B360" s="123"/>
      <c r="C360" s="123"/>
    </row>
    <row r="361" spans="2:3">
      <c r="B361" s="123"/>
      <c r="C361" s="123"/>
    </row>
    <row r="362" spans="2:3">
      <c r="B362" s="125"/>
      <c r="C362" s="125"/>
    </row>
    <row r="363" spans="2:3">
      <c r="B363" s="125"/>
      <c r="C363" s="125"/>
    </row>
    <row r="364" spans="2:3">
      <c r="B364" s="125"/>
      <c r="C364" s="125"/>
    </row>
    <row r="365" spans="2:3">
      <c r="B365" s="125"/>
      <c r="C365" s="125"/>
    </row>
    <row r="366" spans="2:3">
      <c r="B366" s="134"/>
      <c r="C366" s="134"/>
    </row>
    <row r="367" spans="2:3">
      <c r="B367" s="123"/>
      <c r="C367" s="123"/>
    </row>
    <row r="368" spans="2:3">
      <c r="B368" s="123"/>
      <c r="C368" s="123"/>
    </row>
    <row r="369" spans="2:3">
      <c r="B369" s="123"/>
      <c r="C369" s="123"/>
    </row>
    <row r="370" spans="2:3">
      <c r="B370" s="123"/>
      <c r="C370" s="123"/>
    </row>
    <row r="371" spans="2:3">
      <c r="B371" s="123"/>
      <c r="C371" s="123"/>
    </row>
    <row r="372" spans="2:3">
      <c r="B372" s="123"/>
      <c r="C372" s="123"/>
    </row>
    <row r="373" spans="2:3">
      <c r="B373" s="123"/>
      <c r="C373" s="123"/>
    </row>
    <row r="374" spans="2:3">
      <c r="B374" s="123"/>
      <c r="C374" s="123"/>
    </row>
    <row r="375" spans="2:3">
      <c r="B375" s="125"/>
      <c r="C375" s="125"/>
    </row>
    <row r="376" spans="2:3">
      <c r="B376" s="128"/>
      <c r="C376" s="128"/>
    </row>
    <row r="377" spans="2:3">
      <c r="B377" s="125"/>
      <c r="C377" s="125"/>
    </row>
    <row r="378" spans="2:3">
      <c r="B378" s="125"/>
      <c r="C378" s="125"/>
    </row>
    <row r="379" spans="2:3">
      <c r="B379" s="128"/>
      <c r="C379" s="128"/>
    </row>
    <row r="380" spans="2:3">
      <c r="B380" s="128"/>
      <c r="C380" s="128"/>
    </row>
    <row r="381" spans="2:3">
      <c r="B381" s="128"/>
      <c r="C381" s="128"/>
    </row>
    <row r="382" spans="2:3">
      <c r="B382" s="134"/>
      <c r="C382" s="134"/>
    </row>
    <row r="383" spans="2:3">
      <c r="B383" s="123"/>
      <c r="C383" s="123"/>
    </row>
    <row r="384" spans="2:3">
      <c r="B384" s="123"/>
      <c r="C384" s="123"/>
    </row>
    <row r="385" spans="2:3">
      <c r="B385" s="123"/>
      <c r="C385" s="123"/>
    </row>
    <row r="386" spans="2:3">
      <c r="B386" s="123"/>
      <c r="C386" s="123"/>
    </row>
    <row r="387" spans="2:3">
      <c r="B387" s="123"/>
      <c r="C387" s="123"/>
    </row>
    <row r="388" spans="2:3">
      <c r="B388" s="123"/>
      <c r="C388" s="123"/>
    </row>
    <row r="389" spans="2:3">
      <c r="B389" s="123"/>
      <c r="C389" s="123"/>
    </row>
    <row r="390" spans="2:3">
      <c r="B390" s="128"/>
      <c r="C390" s="128"/>
    </row>
    <row r="391" spans="2:3">
      <c r="B391" s="128"/>
      <c r="C391" s="128"/>
    </row>
    <row r="392" spans="2:3">
      <c r="B392" s="136"/>
      <c r="C392" s="136"/>
    </row>
    <row r="393" spans="2:3">
      <c r="B393" s="125"/>
      <c r="C393" s="125"/>
    </row>
    <row r="394" spans="2:3">
      <c r="B394" s="134"/>
      <c r="C394" s="134"/>
    </row>
    <row r="395" spans="2:3">
      <c r="B395" s="123"/>
      <c r="C395" s="123"/>
    </row>
    <row r="396" spans="2:3">
      <c r="B396" s="123"/>
      <c r="C396" s="123"/>
    </row>
    <row r="397" spans="2:3">
      <c r="B397" s="123"/>
      <c r="C397" s="123"/>
    </row>
    <row r="398" spans="2:3">
      <c r="B398" s="123"/>
      <c r="C398" s="123"/>
    </row>
    <row r="399" spans="2:3">
      <c r="B399" s="123"/>
      <c r="C399" s="123"/>
    </row>
    <row r="400" spans="2:3">
      <c r="B400" s="123"/>
      <c r="C400" s="123"/>
    </row>
    <row r="401" spans="2:3">
      <c r="B401" s="123"/>
      <c r="C401" s="123"/>
    </row>
    <row r="402" spans="2:3">
      <c r="B402" s="125"/>
      <c r="C402" s="125"/>
    </row>
    <row r="403" spans="2:3">
      <c r="B403" s="125"/>
      <c r="C403" s="125"/>
    </row>
    <row r="404" spans="2:3">
      <c r="B404" s="125"/>
      <c r="C404" s="125"/>
    </row>
    <row r="405" spans="2:3">
      <c r="B405" s="125"/>
      <c r="C405" s="125"/>
    </row>
    <row r="406" spans="2:3">
      <c r="B406" s="134"/>
      <c r="C406" s="134"/>
    </row>
    <row r="407" spans="2:3">
      <c r="B407" s="123"/>
      <c r="C407" s="123"/>
    </row>
    <row r="408" spans="2:3">
      <c r="B408" s="123"/>
      <c r="C408" s="123"/>
    </row>
    <row r="409" spans="2:3">
      <c r="B409" s="123"/>
      <c r="C409" s="123"/>
    </row>
    <row r="410" spans="2:3">
      <c r="B410" s="123"/>
      <c r="C410" s="123"/>
    </row>
    <row r="411" spans="2:3">
      <c r="B411" s="123"/>
      <c r="C411" s="123"/>
    </row>
    <row r="412" spans="2:3">
      <c r="B412" s="123"/>
      <c r="C412" s="123"/>
    </row>
    <row r="413" spans="2:3">
      <c r="B413" s="123"/>
      <c r="C413" s="123"/>
    </row>
    <row r="414" spans="2:3">
      <c r="B414" s="123"/>
      <c r="C414" s="123"/>
    </row>
    <row r="415" spans="2:3">
      <c r="B415" s="125"/>
      <c r="C415" s="125"/>
    </row>
    <row r="416" spans="2:3">
      <c r="B416" s="128"/>
      <c r="C416" s="128"/>
    </row>
    <row r="417" spans="2:3">
      <c r="B417" s="125"/>
      <c r="C417" s="125"/>
    </row>
    <row r="418" spans="2:3">
      <c r="B418" s="125"/>
      <c r="C418" s="125"/>
    </row>
    <row r="419" spans="2:3">
      <c r="B419" s="128"/>
      <c r="C419" s="128"/>
    </row>
    <row r="420" spans="2:3">
      <c r="B420" s="128"/>
      <c r="C420" s="128"/>
    </row>
    <row r="421" spans="2:3">
      <c r="B421" s="128"/>
      <c r="C421" s="128"/>
    </row>
    <row r="422" spans="2:3">
      <c r="B422" s="134"/>
      <c r="C422" s="134"/>
    </row>
    <row r="423" spans="2:3">
      <c r="B423" s="123"/>
      <c r="C423" s="123"/>
    </row>
    <row r="424" spans="2:3">
      <c r="B424" s="123"/>
      <c r="C424" s="123"/>
    </row>
    <row r="425" spans="2:3">
      <c r="B425" s="123"/>
      <c r="C425" s="123"/>
    </row>
    <row r="426" spans="2:3">
      <c r="B426" s="123"/>
      <c r="C426" s="123"/>
    </row>
    <row r="427" spans="2:3">
      <c r="B427" s="123"/>
      <c r="C427" s="123"/>
    </row>
    <row r="428" spans="2:3">
      <c r="B428" s="123"/>
      <c r="C428" s="123"/>
    </row>
    <row r="429" spans="2:3">
      <c r="B429" s="123"/>
      <c r="C429" s="123"/>
    </row>
    <row r="430" spans="2:3">
      <c r="B430" s="128"/>
      <c r="C430" s="128"/>
    </row>
  </sheetData>
  <pageMargins left="0.7" right="0.7" top="0.75" bottom="0.75" header="0.3" footer="0.3"/>
  <pageSetup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73560-CADE-AA40-9A6A-D4DE1227DE97}">
  <sheetPr>
    <tabColor theme="9"/>
  </sheetPr>
  <dimension ref="A1:O22"/>
  <sheetViews>
    <sheetView workbookViewId="0">
      <selection activeCell="E24" sqref="E24"/>
    </sheetView>
  </sheetViews>
  <sheetFormatPr defaultColWidth="10.875" defaultRowHeight="15.95"/>
  <cols>
    <col min="1" max="1" width="10.875" style="1"/>
    <col min="2" max="2" width="24.625" style="1" bestFit="1" customWidth="1"/>
    <col min="3" max="3" width="10.875" style="1"/>
    <col min="4" max="4" width="11.875" style="1" bestFit="1" customWidth="1"/>
    <col min="5" max="11" width="12.875" style="1" bestFit="1" customWidth="1"/>
    <col min="12" max="14" width="12.125" style="1" bestFit="1" customWidth="1"/>
    <col min="15" max="15" width="13.625" style="1" bestFit="1" customWidth="1"/>
    <col min="16" max="16384" width="10.875" style="1"/>
  </cols>
  <sheetData>
    <row r="1" spans="1:15">
      <c r="A1" s="76" t="s">
        <v>206</v>
      </c>
    </row>
    <row r="2" spans="1:15">
      <c r="B2" s="278" t="s">
        <v>37</v>
      </c>
      <c r="C2" s="284"/>
      <c r="D2" s="279">
        <f>YEAR(D3)</f>
        <v>2022</v>
      </c>
      <c r="E2" s="279">
        <f t="shared" ref="E2:O2" si="0">YEAR(E3)</f>
        <v>2023</v>
      </c>
      <c r="F2" s="279">
        <f t="shared" si="0"/>
        <v>2024</v>
      </c>
      <c r="G2" s="279">
        <f t="shared" si="0"/>
        <v>2025</v>
      </c>
      <c r="H2" s="279">
        <f t="shared" si="0"/>
        <v>2026</v>
      </c>
      <c r="I2" s="279">
        <f t="shared" si="0"/>
        <v>2027</v>
      </c>
      <c r="J2" s="279">
        <f t="shared" si="0"/>
        <v>2028</v>
      </c>
      <c r="K2" s="279">
        <f t="shared" si="0"/>
        <v>2029</v>
      </c>
      <c r="L2" s="279">
        <f t="shared" si="0"/>
        <v>2030</v>
      </c>
      <c r="M2" s="279">
        <f t="shared" si="0"/>
        <v>2031</v>
      </c>
      <c r="N2" s="279">
        <f t="shared" si="0"/>
        <v>2032</v>
      </c>
      <c r="O2" s="279">
        <f t="shared" si="0"/>
        <v>2033</v>
      </c>
    </row>
    <row r="3" spans="1:15">
      <c r="B3" s="278"/>
      <c r="C3" s="284"/>
      <c r="D3" s="281">
        <f>(Assumptions!D4)</f>
        <v>44926</v>
      </c>
      <c r="E3" s="281">
        <f>EOMONTH(D3,12)</f>
        <v>45291</v>
      </c>
      <c r="F3" s="281">
        <f t="shared" ref="F3:N3" si="1">EOMONTH(E3,12)</f>
        <v>45657</v>
      </c>
      <c r="G3" s="281">
        <f t="shared" si="1"/>
        <v>46022</v>
      </c>
      <c r="H3" s="281">
        <f t="shared" si="1"/>
        <v>46387</v>
      </c>
      <c r="I3" s="281">
        <f t="shared" si="1"/>
        <v>46752</v>
      </c>
      <c r="J3" s="281">
        <f t="shared" si="1"/>
        <v>47118</v>
      </c>
      <c r="K3" s="281">
        <f t="shared" si="1"/>
        <v>47483</v>
      </c>
      <c r="L3" s="281">
        <f t="shared" si="1"/>
        <v>47848</v>
      </c>
      <c r="M3" s="281">
        <f t="shared" si="1"/>
        <v>48213</v>
      </c>
      <c r="N3" s="281">
        <f t="shared" si="1"/>
        <v>48579</v>
      </c>
      <c r="O3" s="281">
        <f t="shared" ref="O3" si="2">EOMONTH(N3,12)</f>
        <v>48944</v>
      </c>
    </row>
    <row r="5" spans="1:15">
      <c r="B5" s="1" t="s">
        <v>91</v>
      </c>
      <c r="D5" s="147">
        <f ca="1">INDEX('Phase I Pro Forma'!$D$167:$N$167,1,MATCH(D3,'Phase I Pro Forma'!$D$70:$N$70,0))</f>
        <v>0</v>
      </c>
      <c r="E5" s="147">
        <f ca="1">INDEX('Phase I Pro Forma'!$D$167:$N$167,1,MATCH(E3,'Phase I Pro Forma'!$D$70:$N$70,0))</f>
        <v>-40497008.290518522</v>
      </c>
      <c r="F5" s="147">
        <f ca="1">INDEX('Phase I Pro Forma'!$D$167:$N$167,1,MATCH(F3,'Phase I Pro Forma'!$D$70:$N$70,0))</f>
        <v>-1562713.6133928595</v>
      </c>
      <c r="G5" s="147">
        <f ca="1">INDEX('Phase I Pro Forma'!$D$167:$N$167,1,MATCH(G3,'Phase I Pro Forma'!$D$70:$N$70,0))</f>
        <v>-7079630.4275132371</v>
      </c>
      <c r="H5" s="147">
        <f ca="1">INDEX('Phase I Pro Forma'!$D$167:$N$167,1,MATCH(H3,'Phase I Pro Forma'!$D$70:$N$70,0))</f>
        <v>-396209.55864347937</v>
      </c>
      <c r="I5" s="147">
        <f ca="1">INDEX('Phase I Pro Forma'!$D$167:$N$167,1,MATCH(I3,'Phase I Pro Forma'!$D$70:$N$70,0))</f>
        <v>1390159.7247969881</v>
      </c>
      <c r="J5" s="147">
        <f ca="1">INDEX('Phase I Pro Forma'!$D$167:$N$167,1,MATCH(J3,'Phase I Pro Forma'!$D$70:$N$70,0))</f>
        <v>2043734.7511580046</v>
      </c>
      <c r="K5" s="147">
        <f ca="1">INDEX('Phase I Pro Forma'!$D$167:$N$167,1,MATCH(K3,'Phase I Pro Forma'!$D$70:$N$70,0))</f>
        <v>125401815.51532778</v>
      </c>
      <c r="L5" s="147">
        <f ca="1">INDEX('Phase I Pro Forma'!$D$167:$N$167,1,MATCH(L3,'Phase I Pro Forma'!$D$70:$N$70,0))</f>
        <v>0</v>
      </c>
      <c r="M5" s="147">
        <f ca="1">INDEX('Phase I Pro Forma'!$D$167:$N$167,1,MATCH(M3,'Phase I Pro Forma'!$D$70:$N$70,0))</f>
        <v>0</v>
      </c>
      <c r="N5" s="147">
        <f ca="1">INDEX('Phase I Pro Forma'!$D$167:$Z$167,1,MATCH(N3,'Phase I Pro Forma'!$D$70:$Z$70,0))</f>
        <v>0</v>
      </c>
      <c r="O5" s="147">
        <f ca="1">INDEX('Phase I Pro Forma'!$D$167:$Z$167,1,MATCH(O3,'Phase I Pro Forma'!$D$70:$Z$70,0))</f>
        <v>0</v>
      </c>
    </row>
    <row r="6" spans="1:15">
      <c r="B6" s="1" t="s">
        <v>93</v>
      </c>
      <c r="D6" s="147">
        <f>IFERROR(INDEX('Phase II Pro Forma'!$D$167:$N$167,1,MATCH('Combined Pro Forma'!D3,'Phase II Pro Forma'!$D$70:$N$70,1)),0)</f>
        <v>0</v>
      </c>
      <c r="E6" s="147">
        <f>IFERROR(INDEX('Phase II Pro Forma'!$D$167:$N$167,1,MATCH('Combined Pro Forma'!E3,'Phase II Pro Forma'!$D$70:$N$70,1)),0)</f>
        <v>0</v>
      </c>
      <c r="F6" s="147">
        <f ca="1">IFERROR(INDEX('Phase II Pro Forma'!$D$167:$N$167,1,MATCH('Combined Pro Forma'!F3,'Phase II Pro Forma'!$D$70:$N$70,1)),0)</f>
        <v>0</v>
      </c>
      <c r="G6" s="147">
        <f ca="1">IFERROR(INDEX('Phase II Pro Forma'!$D$167:$N$167,1,MATCH('Combined Pro Forma'!G3,'Phase II Pro Forma'!$D$70:$N$70,1)),0)</f>
        <v>-17964902</v>
      </c>
      <c r="H6" s="147">
        <f ca="1">IFERROR(INDEX('Phase II Pro Forma'!$D$167:$N$167,1,MATCH('Combined Pro Forma'!H3,'Phase II Pro Forma'!$D$70:$N$70,1)),0)</f>
        <v>-48397755.41895245</v>
      </c>
      <c r="I6" s="147">
        <f ca="1">IFERROR(INDEX('Phase II Pro Forma'!$D$167:$N$167,1,MATCH('Combined Pro Forma'!I3,'Phase II Pro Forma'!$D$70:$N$70,1)),0)</f>
        <v>-6991943.2401361791</v>
      </c>
      <c r="J6" s="147">
        <f ca="1">IFERROR(INDEX('Phase II Pro Forma'!$D$167:$N$167,1,MATCH('Combined Pro Forma'!J3,'Phase II Pro Forma'!$D$70:$N$70,1)),0)</f>
        <v>795754.1054846358</v>
      </c>
      <c r="K6" s="147">
        <f ca="1">IFERROR(INDEX('Phase II Pro Forma'!$D$167:$N$167,1,MATCH('Combined Pro Forma'!K3,'Phase II Pro Forma'!$D$70:$N$70,1)),0)</f>
        <v>4797382.789629057</v>
      </c>
      <c r="L6" s="147">
        <f ca="1">IFERROR(INDEX('Phase II Pro Forma'!$D$167:$N$167,1,MATCH('Combined Pro Forma'!L3,'Phase II Pro Forma'!$D$70:$N$70,1)),0)</f>
        <v>5602594.9262756109</v>
      </c>
      <c r="M6" s="147">
        <f ca="1">IFERROR(INDEX('Phase II Pro Forma'!$D$167:$N$167,1,MATCH('Combined Pro Forma'!M3,'Phase II Pro Forma'!$D$70:$N$70,1)),0)</f>
        <v>243248747.57440525</v>
      </c>
      <c r="N6" s="147">
        <f>IFERROR(INDEX('Phase II Pro Forma'!$D$166:$Z$166,1,MATCH('Combined Pro Forma'!N3,'Phase II Pro Forma'!$D$70:$Z$70,1)),0)</f>
        <v>0</v>
      </c>
      <c r="O6" s="147">
        <f>IFERROR(INDEX('Phase II Pro Forma'!$D$166:$Z$166,1,MATCH('Combined Pro Forma'!O3,'Phase II Pro Forma'!$D$70:$Z$70,1)),0)</f>
        <v>0</v>
      </c>
    </row>
    <row r="7" spans="1:15" ht="17.100000000000001" thickBot="1">
      <c r="B7" s="1" t="s">
        <v>94</v>
      </c>
      <c r="D7" s="147">
        <f>IFERROR(INDEX('Phase III Pro Forma'!$D$167:$N$167,1,MATCH('Combined Pro Forma'!D3,'Phase III Pro Forma'!$D$70:$N$70,0)),0)</f>
        <v>0</v>
      </c>
      <c r="E7" s="147">
        <f>IFERROR(INDEX('Phase III Pro Forma'!$D$167:$N$167,1,MATCH('Combined Pro Forma'!E3,'Phase III Pro Forma'!$D$70:$N$70,0)),0)</f>
        <v>0</v>
      </c>
      <c r="F7" s="147">
        <f>IFERROR(INDEX('Phase III Pro Forma'!$D$167:$N$167,1,MATCH('Combined Pro Forma'!F3,'Phase III Pro Forma'!$D$70:$N$70,0)),0)</f>
        <v>0</v>
      </c>
      <c r="G7" s="147">
        <f>IFERROR(INDEX('Phase III Pro Forma'!$D$167:$N$167,1,MATCH('Combined Pro Forma'!G3,'Phase III Pro Forma'!$D$70:$N$70,0)),0)</f>
        <v>0</v>
      </c>
      <c r="H7" s="147">
        <f ca="1">IFERROR(INDEX('Phase III Pro Forma'!$D$167:$N$167,1,MATCH('Combined Pro Forma'!H3,'Phase III Pro Forma'!$D$70:$N$70,0)),0)</f>
        <v>0</v>
      </c>
      <c r="I7" s="147">
        <f ca="1">IFERROR(INDEX('Phase III Pro Forma'!$D$167:$N$167,1,MATCH('Combined Pro Forma'!I3,'Phase III Pro Forma'!$D$70:$N$70,0)),0)</f>
        <v>-25430473</v>
      </c>
      <c r="J7" s="147">
        <f ca="1">IFERROR(INDEX('Phase III Pro Forma'!$D$167:$N$167,1,MATCH('Combined Pro Forma'!J3,'Phase III Pro Forma'!$D$70:$N$70,0)),0)</f>
        <v>-20787794.259443037</v>
      </c>
      <c r="K7" s="147">
        <f ca="1">IFERROR(INDEX('Phase III Pro Forma'!$D$167:$N$167,1,MATCH('Combined Pro Forma'!K3,'Phase III Pro Forma'!$D$70:$N$70,0)),0)</f>
        <v>-5045528.2579373457</v>
      </c>
      <c r="L7" s="147">
        <f ca="1">IFERROR(INDEX('Phase III Pro Forma'!$D$167:$N$167,1,MATCH('Combined Pro Forma'!L3,'Phase III Pro Forma'!$D$70:$N$70,0)),0)</f>
        <v>4445761.8130905554</v>
      </c>
      <c r="M7" s="147">
        <f ca="1">IFERROR(INDEX('Phase III Pro Forma'!$D$167:$N$167,1,MATCH('Combined Pro Forma'!M3,'Phase III Pro Forma'!$D$70:$N$70,0)),0)</f>
        <v>2839437.1953264698</v>
      </c>
      <c r="N7" s="147">
        <f ca="1">IFERROR(INDEX('Phase III Pro Forma'!$D$166:$Z$166,1,MATCH('Combined Pro Forma'!N3,'Phase III Pro Forma'!$D$70:$Z$70,0)),0)</f>
        <v>143226163.96178818</v>
      </c>
      <c r="O7" s="147">
        <f>IFERROR(INDEX('Phase III Pro Forma'!$D$166:$Z$166,1,MATCH('Combined Pro Forma'!O3,'Phase III Pro Forma'!$D$70:$Z$70,0)),0)</f>
        <v>0</v>
      </c>
    </row>
    <row r="8" spans="1:15" ht="17.100000000000001" thickBot="1">
      <c r="B8" s="304" t="s">
        <v>445</v>
      </c>
      <c r="C8" s="342"/>
      <c r="D8" s="289">
        <f ca="1">SUM(D5:D7)</f>
        <v>0</v>
      </c>
      <c r="E8" s="343">
        <f t="shared" ref="E8:O8" ca="1" si="3">SUM(E5:E7)</f>
        <v>-40497008.290518522</v>
      </c>
      <c r="F8" s="343">
        <f t="shared" ca="1" si="3"/>
        <v>-1562713.6133928595</v>
      </c>
      <c r="G8" s="343">
        <f t="shared" ca="1" si="3"/>
        <v>-25044532.427513238</v>
      </c>
      <c r="H8" s="343">
        <f t="shared" ca="1" si="3"/>
        <v>-48793964.977595933</v>
      </c>
      <c r="I8" s="343">
        <f t="shared" ca="1" si="3"/>
        <v>-31032256.515339192</v>
      </c>
      <c r="J8" s="343">
        <f t="shared" ca="1" si="3"/>
        <v>-17948305.402800396</v>
      </c>
      <c r="K8" s="343">
        <f t="shared" ca="1" si="3"/>
        <v>125153670.0470195</v>
      </c>
      <c r="L8" s="343">
        <f t="shared" ca="1" si="3"/>
        <v>10048356.739366166</v>
      </c>
      <c r="M8" s="343">
        <f t="shared" ca="1" si="3"/>
        <v>246088184.76973173</v>
      </c>
      <c r="N8" s="290">
        <f t="shared" ca="1" si="3"/>
        <v>143226163.96178818</v>
      </c>
      <c r="O8" s="290">
        <f t="shared" ca="1" si="3"/>
        <v>0</v>
      </c>
    </row>
    <row r="9" spans="1:15" ht="17.100000000000001" thickBot="1"/>
    <row r="10" spans="1:15">
      <c r="B10" s="332" t="s">
        <v>446</v>
      </c>
      <c r="C10" s="340">
        <f ca="1">IRR(D8:O8)</f>
        <v>0.23668295643506987</v>
      </c>
    </row>
    <row r="11" spans="1:15" ht="17.100000000000001" thickBot="1">
      <c r="B11" s="337" t="s">
        <v>447</v>
      </c>
      <c r="C11" s="341">
        <f ca="1">('Phase III Pro Forma'!C166+'Phase II Pro Forma'!C166+'Phase I Pro Forma'!C205)/-('Phase I Pro Forma'!C165+'Phase II Pro Forma'!C165+'Phase III Pro Forma'!C165)</f>
        <v>5.5642594729550234</v>
      </c>
    </row>
    <row r="13" spans="1:15">
      <c r="B13" s="278" t="s">
        <v>453</v>
      </c>
      <c r="C13" s="284"/>
      <c r="D13" s="279">
        <f>D2</f>
        <v>2022</v>
      </c>
      <c r="E13" s="279">
        <f t="shared" ref="E13:N13" si="4">E2</f>
        <v>2023</v>
      </c>
      <c r="F13" s="279">
        <f t="shared" si="4"/>
        <v>2024</v>
      </c>
      <c r="G13" s="279">
        <f t="shared" si="4"/>
        <v>2025</v>
      </c>
      <c r="H13" s="279">
        <f t="shared" si="4"/>
        <v>2026</v>
      </c>
      <c r="I13" s="279">
        <f t="shared" si="4"/>
        <v>2027</v>
      </c>
      <c r="J13" s="279">
        <f t="shared" si="4"/>
        <v>2028</v>
      </c>
      <c r="K13" s="279">
        <f t="shared" si="4"/>
        <v>2029</v>
      </c>
      <c r="L13" s="279">
        <f t="shared" si="4"/>
        <v>2030</v>
      </c>
      <c r="M13" s="279">
        <f t="shared" si="4"/>
        <v>2031</v>
      </c>
      <c r="N13" s="279">
        <f t="shared" si="4"/>
        <v>2032</v>
      </c>
      <c r="O13" s="279">
        <f t="shared" ref="O13" si="5">O2</f>
        <v>2033</v>
      </c>
    </row>
    <row r="14" spans="1:15">
      <c r="B14" s="278"/>
      <c r="C14" s="284"/>
      <c r="D14" s="281">
        <f>D3</f>
        <v>44926</v>
      </c>
      <c r="E14" s="281">
        <f t="shared" ref="E14:N14" si="6">E3</f>
        <v>45291</v>
      </c>
      <c r="F14" s="281">
        <f t="shared" si="6"/>
        <v>45657</v>
      </c>
      <c r="G14" s="281">
        <f t="shared" si="6"/>
        <v>46022</v>
      </c>
      <c r="H14" s="281">
        <f t="shared" si="6"/>
        <v>46387</v>
      </c>
      <c r="I14" s="281">
        <f t="shared" si="6"/>
        <v>46752</v>
      </c>
      <c r="J14" s="281">
        <f t="shared" si="6"/>
        <v>47118</v>
      </c>
      <c r="K14" s="281">
        <f t="shared" si="6"/>
        <v>47483</v>
      </c>
      <c r="L14" s="281">
        <f t="shared" si="6"/>
        <v>47848</v>
      </c>
      <c r="M14" s="281">
        <f t="shared" si="6"/>
        <v>48213</v>
      </c>
      <c r="N14" s="281">
        <f t="shared" si="6"/>
        <v>48579</v>
      </c>
      <c r="O14" s="281">
        <f t="shared" ref="O14" si="7">O3</f>
        <v>48944</v>
      </c>
    </row>
    <row r="16" spans="1:15">
      <c r="B16" s="1" t="s">
        <v>91</v>
      </c>
      <c r="D16" s="147">
        <f ca="1">INDEX('Phase I Pro Forma'!$D$206:$N$206,1,MATCH('Combined Pro Forma'!D14,'Phase I Pro Forma'!$D$174:$N$174,0))</f>
        <v>0</v>
      </c>
      <c r="E16" s="147">
        <f ca="1">INDEX('Phase I Pro Forma'!$D$206:$N$206,1,MATCH('Combined Pro Forma'!E14,'Phase I Pro Forma'!$D$174:$N$174,0))</f>
        <v>-56664292</v>
      </c>
      <c r="F16" s="147">
        <f ca="1">INDEX('Phase I Pro Forma'!$D$206:$N$206,1,MATCH('Combined Pro Forma'!F14,'Phase I Pro Forma'!$D$174:$N$174,0))</f>
        <v>-127428143.35897943</v>
      </c>
      <c r="G16" s="147">
        <f ca="1">INDEX('Phase I Pro Forma'!$D$206:$N$206,1,MATCH('Combined Pro Forma'!G14,'Phase I Pro Forma'!$D$174:$N$174,0))</f>
        <v>-127428143.35897943</v>
      </c>
      <c r="H16" s="147">
        <f ca="1">INDEX('Phase I Pro Forma'!$D$206:$N$206,1,MATCH('Combined Pro Forma'!H14,'Phase I Pro Forma'!$D$174:$N$174,0))</f>
        <v>-589146.14063843712</v>
      </c>
      <c r="I16" s="147">
        <f ca="1">INDEX('Phase I Pro Forma'!$D$206:$N$206,1,MATCH('Combined Pro Forma'!I14,'Phase I Pro Forma'!$D$174:$N$174,0))</f>
        <v>18155232.402938195</v>
      </c>
      <c r="J16" s="147">
        <f ca="1">INDEX('Phase I Pro Forma'!$D$206:$N$206,1,MATCH('Combined Pro Forma'!J14,'Phase I Pro Forma'!$D$174:$N$174,0))</f>
        <v>18684157.975231003</v>
      </c>
      <c r="K16" s="147">
        <f ca="1">INDEX('Phase I Pro Forma'!$D$206:$N$206,1,MATCH('Combined Pro Forma'!K14,'Phase I Pro Forma'!$D$174:$N$174,0))</f>
        <v>399835025.30387974</v>
      </c>
      <c r="L16" s="147">
        <f ca="1">INDEX('Phase I Pro Forma'!$D$206:$N$206,1,MATCH('Combined Pro Forma'!L14,'Phase I Pro Forma'!$D$174:$N$174,0))</f>
        <v>0</v>
      </c>
      <c r="M16" s="147">
        <f ca="1">INDEX('Phase I Pro Forma'!$D$206:$N$206,1,MATCH('Combined Pro Forma'!M14,'Phase I Pro Forma'!$D$174:$N$174,0))</f>
        <v>0</v>
      </c>
      <c r="N16" s="147">
        <f ca="1">INDEX('Phase I Pro Forma'!$D$206:$Z$206,1,MATCH('Combined Pro Forma'!N14,'Phase I Pro Forma'!$D$174:$Z$174,0))</f>
        <v>0</v>
      </c>
      <c r="O16" s="147">
        <f ca="1">INDEX('Phase I Pro Forma'!$D$206:$Z$206,1,MATCH('Combined Pro Forma'!O14,'Phase I Pro Forma'!$D$174:$Z$174,0))</f>
        <v>0</v>
      </c>
    </row>
    <row r="17" spans="2:15">
      <c r="B17" s="1" t="s">
        <v>93</v>
      </c>
      <c r="D17" s="147">
        <f>IFERROR(INDEX('Phase II Pro Forma'!$D$206:$N$206,1,MATCH('Combined Pro Forma'!D14,'Phase II Pro Forma'!$D$174:$N$174,0)),0)</f>
        <v>0</v>
      </c>
      <c r="E17" s="147">
        <f>IFERROR(INDEX('Phase II Pro Forma'!$D$206:$N$206,1,MATCH('Combined Pro Forma'!E14,'Phase II Pro Forma'!$D$174:$N$174,0)),0)</f>
        <v>0</v>
      </c>
      <c r="F17" s="147">
        <f ca="1">IFERROR(INDEX('Phase II Pro Forma'!$D$206:$N$206,1,MATCH('Combined Pro Forma'!F14,'Phase II Pro Forma'!$D$174:$N$174,0)),0)</f>
        <v>0</v>
      </c>
      <c r="G17" s="147">
        <f ca="1">IFERROR(INDEX('Phase II Pro Forma'!$D$206:$N$206,1,MATCH('Combined Pro Forma'!G14,'Phase II Pro Forma'!$D$174:$N$174,0)),0)</f>
        <v>0</v>
      </c>
      <c r="H17" s="147">
        <f ca="1">IFERROR(INDEX('Phase II Pro Forma'!$D$206:$N$206,1,MATCH('Combined Pro Forma'!H14,'Phase II Pro Forma'!$D$174:$N$174,0)),0)</f>
        <v>-156588802.88465017</v>
      </c>
      <c r="I17" s="147">
        <f ca="1">IFERROR(INDEX('Phase II Pro Forma'!$D$206:$N$206,1,MATCH('Combined Pro Forma'!I14,'Phase II Pro Forma'!$D$174:$N$174,0)),0)</f>
        <v>-156588802.88465017</v>
      </c>
      <c r="J17" s="147">
        <f ca="1">IFERROR(INDEX('Phase II Pro Forma'!$D$206:$N$206,1,MATCH('Combined Pro Forma'!J14,'Phase II Pro Forma'!$D$174:$N$174,0)),0)</f>
        <v>-35032122.078410558</v>
      </c>
      <c r="K17" s="147">
        <f ca="1">IFERROR(INDEX('Phase II Pro Forma'!$D$206:$N$206,1,MATCH('Combined Pro Forma'!K14,'Phase II Pro Forma'!$D$174:$N$174,0)),0)</f>
        <v>23461727.355095703</v>
      </c>
      <c r="L17" s="147">
        <f ca="1">IFERROR(INDEX('Phase II Pro Forma'!$D$206:$N$206,1,MATCH('Combined Pro Forma'!L14,'Phase II Pro Forma'!$D$174:$N$174,0)),0)</f>
        <v>24128168.822190695</v>
      </c>
      <c r="M17" s="147">
        <f ca="1">IFERROR(INDEX('Phase II Pro Forma'!$D$206:$N$206,1,MATCH('Combined Pro Forma'!M14,'Phase II Pro Forma'!$D$174:$N$174,0)),0)</f>
        <v>548771788.60356188</v>
      </c>
      <c r="N17" s="147">
        <f ca="1">IFERROR(INDEX('Phase II Pro Forma'!$D$206:$N$206,1,MATCH('Combined Pro Forma'!N14,'Phase II Pro Forma'!$D$174:$N$174,0)),0)</f>
        <v>0</v>
      </c>
      <c r="O17" s="147">
        <f>IFERROR(INDEX('Phase II Pro Forma'!$D$205:$Z$205,1,MATCH('Combined Pro Forma'!O14,'Phase II Pro Forma'!$D$173:$Z$173,0)),0)</f>
        <v>0</v>
      </c>
    </row>
    <row r="18" spans="2:15" ht="17.100000000000001" thickBot="1">
      <c r="B18" s="1" t="s">
        <v>94</v>
      </c>
      <c r="D18" s="147">
        <f>IFERROR(INDEX('Phase III Pro Forma'!$D$206:$N$206,1,MATCH('Combined Pro Forma'!D14,'Phase III Pro Forma'!$D$174:$N$174,0)),0)</f>
        <v>0</v>
      </c>
      <c r="E18" s="147">
        <f>IFERROR(INDEX('Phase III Pro Forma'!$D$206:$N$206,1,MATCH('Combined Pro Forma'!E14,'Phase III Pro Forma'!$D$174:$N$174,0)),0)</f>
        <v>0</v>
      </c>
      <c r="F18" s="147">
        <f>IFERROR(INDEX('Phase III Pro Forma'!$D$206:$N$206,1,MATCH('Combined Pro Forma'!F14,'Phase III Pro Forma'!$D$174:$N$174,0)),0)</f>
        <v>0</v>
      </c>
      <c r="G18" s="147">
        <f>IFERROR(INDEX('Phase III Pro Forma'!$D$206:$N$206,1,MATCH('Combined Pro Forma'!G14,'Phase III Pro Forma'!$D$174:$N$174,0)),0)</f>
        <v>0</v>
      </c>
      <c r="H18" s="147">
        <f ca="1">IFERROR(INDEX('Phase III Pro Forma'!$D$206:$N$206,1,MATCH('Combined Pro Forma'!H14,'Phase III Pro Forma'!$D$174:$N$174,0)),0)</f>
        <v>0</v>
      </c>
      <c r="I18" s="147">
        <f ca="1">IFERROR(INDEX('Phase III Pro Forma'!$D$206:$N$206,1,MATCH('Combined Pro Forma'!I14,'Phase III Pro Forma'!$D$174:$N$174,0)),0)</f>
        <v>-25430473</v>
      </c>
      <c r="J18" s="147">
        <f ca="1">IFERROR(INDEX('Phase III Pro Forma'!$D$206:$N$206,1,MATCH('Combined Pro Forma'!J14,'Phase III Pro Forma'!$D$174:$N$174,0)),0)</f>
        <v>-100636695.09553313</v>
      </c>
      <c r="K18" s="147">
        <f ca="1">IFERROR(INDEX('Phase III Pro Forma'!$D$206:$N$206,1,MATCH('Combined Pro Forma'!K14,'Phase III Pro Forma'!$D$174:$N$174,0)),0)</f>
        <v>-100636695.09553313</v>
      </c>
      <c r="L18" s="147">
        <f ca="1">IFERROR(INDEX('Phase III Pro Forma'!$D$206:$N$206,1,MATCH('Combined Pro Forma'!L14,'Phase III Pro Forma'!$D$174:$N$174,0)),0)</f>
        <v>-16438333.686680457</v>
      </c>
      <c r="M18" s="147">
        <f ca="1">IFERROR(INDEX('Phase III Pro Forma'!$D$206:$N$206,1,MATCH('Combined Pro Forma'!M14,'Phase III Pro Forma'!$D$174:$N$174,0)),0)</f>
        <v>15351704.24336176</v>
      </c>
      <c r="N18" s="147">
        <f ca="1">IFERROR(INDEX('Phase III Pro Forma'!$D$206:$N$206,1,MATCH('Combined Pro Forma'!N14,'Phase III Pro Forma'!$D$174:$N$174,0)),0)</f>
        <v>352585381.83730209</v>
      </c>
      <c r="O18" s="147">
        <f>IFERROR(INDEX('Phase III Pro Forma'!$D$205:$Z$205,1,MATCH('Combined Pro Forma'!O14,'Phase III Pro Forma'!$D$173:$Z$173,0)),0)</f>
        <v>0</v>
      </c>
    </row>
    <row r="19" spans="2:15" ht="17.100000000000001" thickBot="1">
      <c r="B19" s="304" t="s">
        <v>445</v>
      </c>
      <c r="C19" s="342"/>
      <c r="D19" s="343">
        <f ca="1">SUM(D16:D18)</f>
        <v>0</v>
      </c>
      <c r="E19" s="343">
        <f t="shared" ref="E19" ca="1" si="8">SUM(E16:E18)</f>
        <v>-56664292</v>
      </c>
      <c r="F19" s="343">
        <f t="shared" ref="F19" ca="1" si="9">SUM(F16:F18)</f>
        <v>-127428143.35897943</v>
      </c>
      <c r="G19" s="343">
        <f t="shared" ref="G19" ca="1" si="10">SUM(G16:G18)</f>
        <v>-127428143.35897943</v>
      </c>
      <c r="H19" s="343">
        <f t="shared" ref="H19" ca="1" si="11">SUM(H16:H18)</f>
        <v>-157177949.02528861</v>
      </c>
      <c r="I19" s="343">
        <f t="shared" ref="I19" ca="1" si="12">SUM(I16:I18)</f>
        <v>-163864043.48171198</v>
      </c>
      <c r="J19" s="343">
        <f t="shared" ref="J19" ca="1" si="13">SUM(J16:J18)</f>
        <v>-116984659.19871269</v>
      </c>
      <c r="K19" s="343">
        <f t="shared" ref="K19" ca="1" si="14">SUM(K16:K18)</f>
        <v>322660057.56344229</v>
      </c>
      <c r="L19" s="343">
        <f t="shared" ref="L19" ca="1" si="15">SUM(L16:L18)</f>
        <v>7689835.1355102379</v>
      </c>
      <c r="M19" s="343">
        <f t="shared" ref="M19" ca="1" si="16">SUM(M16:M18)</f>
        <v>564123492.84692359</v>
      </c>
      <c r="N19" s="290">
        <f t="shared" ref="N19:O19" ca="1" si="17">SUM(N16:N18)</f>
        <v>352585381.83730209</v>
      </c>
      <c r="O19" s="290">
        <f t="shared" ca="1" si="17"/>
        <v>0</v>
      </c>
    </row>
    <row r="20" spans="2:15" ht="17.100000000000001" thickBot="1"/>
    <row r="21" spans="2:15">
      <c r="B21" s="332" t="s">
        <v>451</v>
      </c>
      <c r="C21" s="340">
        <f ca="1">IRR(D19:O19)</f>
        <v>0.1067600626073042</v>
      </c>
    </row>
    <row r="22" spans="2:15" ht="17.100000000000001" thickBot="1">
      <c r="B22" s="337" t="s">
        <v>447</v>
      </c>
      <c r="C22" s="341">
        <f ca="1">('Phase I Pro Forma'!C205+'Phase II Pro Forma'!C205+'Phase III Pro Forma'!C205)/-('Phase II Pro Forma'!C204+'Phase II Pro Forma'!C204+'Phase I Pro Forma'!C204)</f>
        <v>1.3707798650642598</v>
      </c>
    </row>
  </sheetData>
  <pageMargins left="0.7" right="0.7" top="0.75" bottom="0.75" header="0.3" footer="0.3"/>
  <pageSetup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96221-95B1-8940-8EBC-440FE9C435C2}">
  <sheetPr>
    <tabColor rgb="FFFF0000"/>
  </sheetPr>
  <dimension ref="A1:I50"/>
  <sheetViews>
    <sheetView workbookViewId="0">
      <selection activeCell="C7" sqref="C7"/>
    </sheetView>
  </sheetViews>
  <sheetFormatPr defaultColWidth="10.875" defaultRowHeight="15.95"/>
  <cols>
    <col min="1" max="3" width="10.875" style="1"/>
    <col min="4" max="4" width="20" style="1" bestFit="1" customWidth="1"/>
    <col min="5" max="5" width="14.625" style="1" bestFit="1" customWidth="1"/>
    <col min="6" max="6" width="12.125" style="1" bestFit="1" customWidth="1"/>
    <col min="7" max="7" width="13.625" style="1" bestFit="1" customWidth="1"/>
    <col min="8" max="8" width="12.625" style="1" customWidth="1"/>
    <col min="9" max="9" width="12.875" style="1" customWidth="1"/>
    <col min="10" max="16384" width="10.875" style="1"/>
  </cols>
  <sheetData>
    <row r="1" spans="1:9" ht="17.100000000000001" thickBot="1">
      <c r="A1" s="428" t="s">
        <v>454</v>
      </c>
      <c r="B1" s="244"/>
      <c r="I1" s="76" t="s">
        <v>206</v>
      </c>
    </row>
    <row r="2" spans="1:9">
      <c r="A2" s="429" t="s">
        <v>455</v>
      </c>
      <c r="B2" s="430">
        <v>20</v>
      </c>
      <c r="D2" s="413" t="s">
        <v>456</v>
      </c>
      <c r="E2" s="420">
        <v>45291</v>
      </c>
    </row>
    <row r="3" spans="1:9" ht="17.100000000000001" thickBot="1">
      <c r="A3" s="431" t="s">
        <v>430</v>
      </c>
      <c r="B3" s="432">
        <v>0.02</v>
      </c>
      <c r="D3" s="40" t="s">
        <v>457</v>
      </c>
      <c r="E3" s="421">
        <f>EOMONTH(E2,12)</f>
        <v>45657</v>
      </c>
    </row>
    <row r="4" spans="1:9" ht="17.100000000000001" thickBot="1">
      <c r="D4" s="200" t="s">
        <v>458</v>
      </c>
      <c r="E4" s="422">
        <f>EOMONTH(E3,48)</f>
        <v>47118</v>
      </c>
    </row>
    <row r="6" spans="1:9" ht="17.100000000000001" thickBot="1"/>
    <row r="7" spans="1:9">
      <c r="D7" s="413" t="s">
        <v>459</v>
      </c>
      <c r="E7" s="419">
        <v>500000000</v>
      </c>
    </row>
    <row r="8" spans="1:9">
      <c r="D8" s="40" t="s">
        <v>460</v>
      </c>
      <c r="E8" s="174">
        <f>SUMIF(Land!H7:H27,"Public",Land!P7:P27)</f>
        <v>92694802</v>
      </c>
    </row>
    <row r="9" spans="1:9" ht="17.100000000000001" thickBot="1">
      <c r="D9" s="200" t="s">
        <v>461</v>
      </c>
      <c r="E9" s="177">
        <f>E7-E8</f>
        <v>407305198</v>
      </c>
    </row>
    <row r="10" spans="1:9" ht="17.100000000000001" thickBot="1"/>
    <row r="11" spans="1:9" ht="17.100000000000001" thickBot="1">
      <c r="D11" s="424" t="s">
        <v>462</v>
      </c>
      <c r="E11" s="425" t="s">
        <v>463</v>
      </c>
      <c r="F11" s="425" t="s">
        <v>58</v>
      </c>
      <c r="G11" s="426" t="s">
        <v>210</v>
      </c>
      <c r="H11" s="426" t="s">
        <v>464</v>
      </c>
      <c r="I11" s="427" t="s">
        <v>465</v>
      </c>
    </row>
    <row r="12" spans="1:9">
      <c r="D12" s="413"/>
      <c r="E12" s="414">
        <f>Assumptions!D4</f>
        <v>44926</v>
      </c>
      <c r="F12" s="243"/>
      <c r="G12" s="243"/>
      <c r="H12" s="415"/>
      <c r="I12" s="416"/>
    </row>
    <row r="13" spans="1:9">
      <c r="D13" s="173" t="str">
        <f>IF(YEAR(PAF!E13)=YEAR(Assumptions!$E$4),Assumptions!$C$4,IF(YEAR(PAF!E13)=YEAR(Assumptions!$E$5),Assumptions!$C$5,IF(YEAR(PAF!E13)=YEAR(Assumptions!$E$6),Assumptions!$C$6,"")))</f>
        <v>Phase I</v>
      </c>
      <c r="E13" s="78">
        <f>EOMONTH(E12,12)</f>
        <v>45291</v>
      </c>
      <c r="F13" s="146"/>
      <c r="G13" s="147">
        <f>SUMIFS(Land!$P$7:$P$27,Land!$H$7:$H$27,"Public",Land!$D$7:$D$27,PAF!D13)</f>
        <v>56119100</v>
      </c>
      <c r="H13" s="147">
        <f>F13-G13</f>
        <v>-56119100</v>
      </c>
      <c r="I13" s="174">
        <f>H13*$B$3</f>
        <v>-1122382</v>
      </c>
    </row>
    <row r="14" spans="1:9">
      <c r="D14" s="173" t="str">
        <f>IF(YEAR(PAF!E14)=YEAR(Assumptions!$E$4),Assumptions!$C$4,IF(YEAR(PAF!E14)=YEAR(Assumptions!$E$5),Assumptions!$C$5,IF(YEAR(PAF!E14)=YEAR(Assumptions!$E$6),Assumptions!$C$6,"")))</f>
        <v/>
      </c>
      <c r="E14" s="78">
        <f t="shared" ref="E14:E46" si="0">EOMONTH(E13,12)</f>
        <v>45657</v>
      </c>
      <c r="F14" s="146">
        <f t="shared" ref="F14:F48" si="1">IF(E14&lt;=$E$4,$E$7/(YEAR($E$4)-YEAR($E$2)),0)</f>
        <v>100000000</v>
      </c>
      <c r="G14" s="147">
        <f>SUMIFS(Land!$P$7:$P$27,Land!$H$7:$H$27,"Public",Land!$D$7:$D$27,PAF!D14)</f>
        <v>0</v>
      </c>
      <c r="H14" s="147">
        <f>F14-G14+H13</f>
        <v>43880900</v>
      </c>
      <c r="I14" s="174">
        <f t="shared" ref="I14:I48" si="2">H14*$B$3</f>
        <v>877618</v>
      </c>
    </row>
    <row r="15" spans="1:9">
      <c r="D15" s="173" t="str">
        <f>IF(YEAR(PAF!E15)=YEAR(Assumptions!$E$4),Assumptions!$C$4,IF(YEAR(PAF!E15)=YEAR(Assumptions!$E$5),Assumptions!$C$5,IF(YEAR(PAF!E15)=YEAR(Assumptions!$E$6),Assumptions!$C$6,"")))</f>
        <v>Phase II</v>
      </c>
      <c r="E15" s="78">
        <f t="shared" si="0"/>
        <v>46022</v>
      </c>
      <c r="F15" s="146">
        <f t="shared" si="1"/>
        <v>100000000</v>
      </c>
      <c r="G15" s="147">
        <f>SUMIFS(Land!$P$7:$P$27,Land!$H$7:$H$27,"Public",Land!$D$7:$D$27,PAF!D15)</f>
        <v>17964902</v>
      </c>
      <c r="H15" s="147">
        <f t="shared" ref="H15:H43" si="3">F15-G15+H14</f>
        <v>125915998</v>
      </c>
      <c r="I15" s="174">
        <f t="shared" si="2"/>
        <v>2518319.96</v>
      </c>
    </row>
    <row r="16" spans="1:9">
      <c r="D16" s="173" t="str">
        <f>IF(YEAR(PAF!E16)=YEAR(Assumptions!$E$4),Assumptions!$C$4,IF(YEAR(PAF!E16)=YEAR(Assumptions!$E$5),Assumptions!$C$5,IF(YEAR(PAF!E16)=YEAR(Assumptions!$E$6),Assumptions!$C$6,"")))</f>
        <v/>
      </c>
      <c r="E16" s="78">
        <f t="shared" si="0"/>
        <v>46387</v>
      </c>
      <c r="F16" s="146">
        <f t="shared" si="1"/>
        <v>100000000</v>
      </c>
      <c r="G16" s="147">
        <f>SUMIFS(Land!$P$7:$P$27,Land!$H$7:$H$27,"Public",Land!$D$7:$D$27,PAF!D16)</f>
        <v>0</v>
      </c>
      <c r="H16" s="147">
        <f t="shared" si="3"/>
        <v>225915998</v>
      </c>
      <c r="I16" s="174">
        <f t="shared" si="2"/>
        <v>4518319.96</v>
      </c>
    </row>
    <row r="17" spans="4:9">
      <c r="D17" s="173" t="str">
        <f>IF(YEAR(PAF!E17)=YEAR(Assumptions!$E$4),Assumptions!$C$4,IF(YEAR(PAF!E17)=YEAR(Assumptions!$E$5),Assumptions!$C$5,IF(YEAR(PAF!E17)=YEAR(Assumptions!$E$6),Assumptions!$C$6,"")))</f>
        <v>Phase III</v>
      </c>
      <c r="E17" s="78">
        <f t="shared" si="0"/>
        <v>46752</v>
      </c>
      <c r="F17" s="146">
        <f t="shared" si="1"/>
        <v>100000000</v>
      </c>
      <c r="G17" s="147">
        <f>SUMIFS(Land!$P$7:$P$27,Land!$H$7:$H$27,"Public",Land!$D$7:$D$27,PAF!D17)</f>
        <v>18610800</v>
      </c>
      <c r="H17" s="147">
        <f>F17-G17+H16</f>
        <v>307305198</v>
      </c>
      <c r="I17" s="174">
        <f>H17*$B$3</f>
        <v>6146103.96</v>
      </c>
    </row>
    <row r="18" spans="4:9">
      <c r="D18" s="173" t="str">
        <f>IF(YEAR(PAF!E18)=YEAR(Assumptions!$E$4),Assumptions!$C$4,IF(YEAR(PAF!E18)=YEAR(Assumptions!$E$5),Assumptions!$C$5,IF(YEAR(PAF!E18)=YEAR(Assumptions!$E$6),Assumptions!$C$6,"")))</f>
        <v/>
      </c>
      <c r="E18" s="78">
        <f t="shared" si="0"/>
        <v>47118</v>
      </c>
      <c r="F18" s="146">
        <f t="shared" si="1"/>
        <v>100000000</v>
      </c>
      <c r="G18" s="147">
        <f>SUMIFS(Land!$P$7:$P$27,Land!$H$7:$H$27,"Public",Land!$D$7:$D$27,PAF!D18)</f>
        <v>0</v>
      </c>
      <c r="H18" s="147">
        <f t="shared" si="3"/>
        <v>407305198</v>
      </c>
      <c r="I18" s="174">
        <f>H18*$B$3</f>
        <v>8146103.96</v>
      </c>
    </row>
    <row r="19" spans="4:9">
      <c r="D19" s="173" t="str">
        <f>IF(YEAR(PAF!E19)=YEAR(Assumptions!$E$4),Assumptions!$C$4,IF(YEAR(PAF!E19)=YEAR(Assumptions!$E$5),Assumptions!$C$5,IF(YEAR(PAF!E19)=YEAR(Assumptions!$E$6),Assumptions!$C$6,"")))</f>
        <v/>
      </c>
      <c r="E19" s="78">
        <f t="shared" si="0"/>
        <v>47483</v>
      </c>
      <c r="F19" s="146">
        <f t="shared" si="1"/>
        <v>0</v>
      </c>
      <c r="G19" s="147">
        <f>SUMIFS(Land!$P$7:$P$27,Land!$H$7:$H$27,"Public",Land!$D$7:$D$27,PAF!D19)</f>
        <v>0</v>
      </c>
      <c r="H19" s="147">
        <f t="shared" si="3"/>
        <v>407305198</v>
      </c>
      <c r="I19" s="174">
        <f t="shared" si="2"/>
        <v>8146103.96</v>
      </c>
    </row>
    <row r="20" spans="4:9">
      <c r="D20" s="173" t="str">
        <f>IF(YEAR(PAF!E20)=YEAR(Assumptions!$E$4),Assumptions!$C$4,IF(YEAR(PAF!E20)=YEAR(Assumptions!$E$5),Assumptions!$C$5,IF(YEAR(PAF!E20)=YEAR(Assumptions!$E$6),Assumptions!$C$6,"")))</f>
        <v/>
      </c>
      <c r="E20" s="78">
        <f t="shared" si="0"/>
        <v>47848</v>
      </c>
      <c r="F20" s="146">
        <f t="shared" si="1"/>
        <v>0</v>
      </c>
      <c r="G20" s="147">
        <f>SUMIFS(Land!$P$7:$P$27,Land!$H$7:$H$27,"Public",Land!$D$7:$D$27,PAF!D20)</f>
        <v>0</v>
      </c>
      <c r="H20" s="147">
        <f t="shared" si="3"/>
        <v>407305198</v>
      </c>
      <c r="I20" s="174">
        <f t="shared" si="2"/>
        <v>8146103.96</v>
      </c>
    </row>
    <row r="21" spans="4:9">
      <c r="D21" s="173" t="str">
        <f>IF(YEAR(PAF!E21)=YEAR(Assumptions!$E$4),Assumptions!$C$4,IF(YEAR(PAF!E21)=YEAR(Assumptions!$E$5),Assumptions!$C$5,IF(YEAR(PAF!E21)=YEAR(Assumptions!$E$6),Assumptions!$C$6,"")))</f>
        <v/>
      </c>
      <c r="E21" s="78">
        <f t="shared" si="0"/>
        <v>48213</v>
      </c>
      <c r="F21" s="146">
        <f t="shared" si="1"/>
        <v>0</v>
      </c>
      <c r="G21" s="147">
        <f>SUMIFS(Land!$P$7:$P$27,Land!$H$7:$H$27,"Public",Land!$D$7:$D$27,PAF!D21)</f>
        <v>0</v>
      </c>
      <c r="H21" s="147">
        <f t="shared" si="3"/>
        <v>407305198</v>
      </c>
      <c r="I21" s="174">
        <f t="shared" si="2"/>
        <v>8146103.96</v>
      </c>
    </row>
    <row r="22" spans="4:9">
      <c r="D22" s="173" t="str">
        <f>IF(YEAR(PAF!E22)=YEAR(Assumptions!$D$4),Assumptions!$C$4,IF(YEAR(PAF!E22)=YEAR(Assumptions!$D$5),Assumptions!$C$5,IF(YEAR(PAF!E22)=YEAR(Assumptions!$D$6),Assumptions!$C$6,"")))</f>
        <v/>
      </c>
      <c r="E22" s="78">
        <f t="shared" si="0"/>
        <v>48579</v>
      </c>
      <c r="F22" s="146">
        <f t="shared" si="1"/>
        <v>0</v>
      </c>
      <c r="G22" s="147">
        <f>SUMIFS(Land!$P$7:$P$27,Land!$H$7:$H$27,"Public",Land!$D$7:$D$27,PAF!D22)</f>
        <v>0</v>
      </c>
      <c r="H22" s="147">
        <f t="shared" si="3"/>
        <v>407305198</v>
      </c>
      <c r="I22" s="174">
        <f t="shared" si="2"/>
        <v>8146103.96</v>
      </c>
    </row>
    <row r="23" spans="4:9">
      <c r="D23" s="173" t="str">
        <f>IF(YEAR(PAF!E23)=YEAR(Assumptions!$D$4),Assumptions!$C$4,IF(YEAR(PAF!E23)=YEAR(Assumptions!$D$5),Assumptions!$C$5,IF(YEAR(PAF!E23)=YEAR(Assumptions!$D$6),Assumptions!$C$6,"")))</f>
        <v/>
      </c>
      <c r="E23" s="78">
        <f t="shared" si="0"/>
        <v>48944</v>
      </c>
      <c r="F23" s="146">
        <f t="shared" si="1"/>
        <v>0</v>
      </c>
      <c r="G23" s="147">
        <f>SUMIFS(Land!$P$7:$P$27,Land!$H$7:$H$27,"Public",Land!$D$7:$D$27,PAF!D23)</f>
        <v>0</v>
      </c>
      <c r="H23" s="147">
        <f t="shared" si="3"/>
        <v>407305198</v>
      </c>
      <c r="I23" s="174">
        <f t="shared" si="2"/>
        <v>8146103.96</v>
      </c>
    </row>
    <row r="24" spans="4:9">
      <c r="D24" s="173" t="str">
        <f>IF(YEAR(PAF!E24)=YEAR(Assumptions!$D$4),Assumptions!$C$4,IF(YEAR(PAF!E24)=YEAR(Assumptions!$D$5),Assumptions!$C$5,IF(YEAR(PAF!E24)=YEAR(Assumptions!$D$6),Assumptions!$C$6,"")))</f>
        <v/>
      </c>
      <c r="E24" s="78">
        <f t="shared" si="0"/>
        <v>49309</v>
      </c>
      <c r="F24" s="146">
        <f t="shared" si="1"/>
        <v>0</v>
      </c>
      <c r="G24" s="147">
        <f>SUMIFS(Land!$P$7:$P$27,Land!$H$7:$H$27,"Public",Land!$D$7:$D$27,PAF!D24)</f>
        <v>0</v>
      </c>
      <c r="H24" s="147">
        <f t="shared" si="3"/>
        <v>407305198</v>
      </c>
      <c r="I24" s="174">
        <f t="shared" si="2"/>
        <v>8146103.96</v>
      </c>
    </row>
    <row r="25" spans="4:9">
      <c r="D25" s="173" t="str">
        <f>IF(YEAR(PAF!E25)=YEAR(Assumptions!$D$4),Assumptions!$C$4,IF(YEAR(PAF!E25)=YEAR(Assumptions!$D$5),Assumptions!$C$5,IF(YEAR(PAF!E25)=YEAR(Assumptions!$D$6),Assumptions!$C$6,"")))</f>
        <v/>
      </c>
      <c r="E25" s="78">
        <f t="shared" si="0"/>
        <v>49674</v>
      </c>
      <c r="F25" s="146">
        <f t="shared" si="1"/>
        <v>0</v>
      </c>
      <c r="G25" s="147">
        <f>SUMIFS(Land!$P$7:$P$27,Land!$H$7:$H$27,"Public",Land!$D$7:$D$27,PAF!D25)</f>
        <v>0</v>
      </c>
      <c r="H25" s="147">
        <f t="shared" si="3"/>
        <v>407305198</v>
      </c>
      <c r="I25" s="174">
        <f t="shared" si="2"/>
        <v>8146103.96</v>
      </c>
    </row>
    <row r="26" spans="4:9">
      <c r="D26" s="173" t="str">
        <f>IF(YEAR(PAF!E26)=YEAR(Assumptions!$D$4),Assumptions!$C$4,IF(YEAR(PAF!E26)=YEAR(Assumptions!$D$5),Assumptions!$C$5,IF(YEAR(PAF!E26)=YEAR(Assumptions!$D$6),Assumptions!$C$6,"")))</f>
        <v/>
      </c>
      <c r="E26" s="78">
        <f t="shared" si="0"/>
        <v>50040</v>
      </c>
      <c r="F26" s="146">
        <f t="shared" si="1"/>
        <v>0</v>
      </c>
      <c r="G26" s="147">
        <f>SUMIFS(Land!$P$7:$P$27,Land!$H$7:$H$27,"Public",Land!$D$7:$D$27,PAF!D26)</f>
        <v>0</v>
      </c>
      <c r="H26" s="147">
        <f t="shared" si="3"/>
        <v>407305198</v>
      </c>
      <c r="I26" s="174">
        <f t="shared" si="2"/>
        <v>8146103.96</v>
      </c>
    </row>
    <row r="27" spans="4:9">
      <c r="D27" s="173" t="str">
        <f>IF(YEAR(PAF!E27)=YEAR(Assumptions!$D$4),Assumptions!$C$4,IF(YEAR(PAF!E27)=YEAR(Assumptions!$D$5),Assumptions!$C$5,IF(YEAR(PAF!E27)=YEAR(Assumptions!$D$6),Assumptions!$C$6,"")))</f>
        <v/>
      </c>
      <c r="E27" s="78">
        <f t="shared" si="0"/>
        <v>50405</v>
      </c>
      <c r="F27" s="146">
        <f t="shared" si="1"/>
        <v>0</v>
      </c>
      <c r="G27" s="147">
        <f>SUMIFS(Land!$P$7:$P$27,Land!$H$7:$H$27,"Public",Land!$D$7:$D$27,PAF!D27)</f>
        <v>0</v>
      </c>
      <c r="H27" s="147">
        <f t="shared" si="3"/>
        <v>407305198</v>
      </c>
      <c r="I27" s="174">
        <f t="shared" si="2"/>
        <v>8146103.96</v>
      </c>
    </row>
    <row r="28" spans="4:9">
      <c r="D28" s="173" t="str">
        <f>IF(YEAR(PAF!E28)=YEAR(Assumptions!$D$4),Assumptions!$C$4,IF(YEAR(PAF!E28)=YEAR(Assumptions!$D$5),Assumptions!$C$5,IF(YEAR(PAF!E28)=YEAR(Assumptions!$D$6),Assumptions!$C$6,"")))</f>
        <v/>
      </c>
      <c r="E28" s="78">
        <f t="shared" si="0"/>
        <v>50770</v>
      </c>
      <c r="F28" s="146">
        <f t="shared" si="1"/>
        <v>0</v>
      </c>
      <c r="G28" s="147">
        <f>SUMIFS(Land!$P$7:$P$27,Land!$H$7:$H$27,"Public",Land!$D$7:$D$27,PAF!D28)</f>
        <v>0</v>
      </c>
      <c r="H28" s="147">
        <f t="shared" si="3"/>
        <v>407305198</v>
      </c>
      <c r="I28" s="174">
        <f t="shared" si="2"/>
        <v>8146103.96</v>
      </c>
    </row>
    <row r="29" spans="4:9">
      <c r="D29" s="173" t="str">
        <f>IF(YEAR(PAF!E29)=YEAR(Assumptions!$D$4),Assumptions!$C$4,IF(YEAR(PAF!E29)=YEAR(Assumptions!$D$5),Assumptions!$C$5,IF(YEAR(PAF!E29)=YEAR(Assumptions!$D$6),Assumptions!$C$6,"")))</f>
        <v/>
      </c>
      <c r="E29" s="78">
        <f t="shared" si="0"/>
        <v>51135</v>
      </c>
      <c r="F29" s="146">
        <f t="shared" si="1"/>
        <v>0</v>
      </c>
      <c r="G29" s="147">
        <f>SUMIFS(Land!$P$7:$P$27,Land!$H$7:$H$27,"Public",Land!$D$7:$D$27,PAF!D29)</f>
        <v>0</v>
      </c>
      <c r="H29" s="147">
        <f t="shared" si="3"/>
        <v>407305198</v>
      </c>
      <c r="I29" s="174">
        <f t="shared" si="2"/>
        <v>8146103.96</v>
      </c>
    </row>
    <row r="30" spans="4:9">
      <c r="D30" s="173" t="str">
        <f>IF(YEAR(PAF!E30)=YEAR(Assumptions!$D$4),Assumptions!$C$4,IF(YEAR(PAF!E30)=YEAR(Assumptions!$D$5),Assumptions!$C$5,IF(YEAR(PAF!E30)=YEAR(Assumptions!$D$6),Assumptions!$C$6,"")))</f>
        <v/>
      </c>
      <c r="E30" s="78">
        <f t="shared" si="0"/>
        <v>51501</v>
      </c>
      <c r="F30" s="146">
        <f t="shared" si="1"/>
        <v>0</v>
      </c>
      <c r="G30" s="147">
        <f>SUMIFS(Land!$P$7:$P$27,Land!$H$7:$H$27,"Public",Land!$D$7:$D$27,PAF!D30)</f>
        <v>0</v>
      </c>
      <c r="H30" s="147">
        <f t="shared" si="3"/>
        <v>407305198</v>
      </c>
      <c r="I30" s="174">
        <f t="shared" si="2"/>
        <v>8146103.96</v>
      </c>
    </row>
    <row r="31" spans="4:9">
      <c r="D31" s="173" t="str">
        <f>IF(YEAR(PAF!E31)=YEAR(Assumptions!$D$4),Assumptions!$C$4,IF(YEAR(PAF!E31)=YEAR(Assumptions!$D$5),Assumptions!$C$5,IF(YEAR(PAF!E31)=YEAR(Assumptions!$D$6),Assumptions!$C$6,"")))</f>
        <v/>
      </c>
      <c r="E31" s="78">
        <f t="shared" si="0"/>
        <v>51866</v>
      </c>
      <c r="F31" s="146">
        <f t="shared" si="1"/>
        <v>0</v>
      </c>
      <c r="G31" s="147">
        <f>SUMIFS(Land!$P$7:$P$27,Land!$H$7:$H$27,"Public",Land!$D$7:$D$27,PAF!D31)</f>
        <v>0</v>
      </c>
      <c r="H31" s="147">
        <f t="shared" si="3"/>
        <v>407305198</v>
      </c>
      <c r="I31" s="174">
        <f t="shared" si="2"/>
        <v>8146103.96</v>
      </c>
    </row>
    <row r="32" spans="4:9">
      <c r="D32" s="173" t="str">
        <f>IF(YEAR(PAF!E32)=YEAR(Assumptions!$D$4),Assumptions!$C$4,IF(YEAR(PAF!E32)=YEAR(Assumptions!$D$5),Assumptions!$C$5,IF(YEAR(PAF!E32)=YEAR(Assumptions!$D$6),Assumptions!$C$6,"")))</f>
        <v/>
      </c>
      <c r="E32" s="78">
        <f t="shared" si="0"/>
        <v>52231</v>
      </c>
      <c r="F32" s="146">
        <f t="shared" si="1"/>
        <v>0</v>
      </c>
      <c r="G32" s="147">
        <f>SUMIFS(Land!$P$7:$P$27,Land!$H$7:$H$27,"Public",Land!$D$7:$D$27,PAF!D32)</f>
        <v>0</v>
      </c>
      <c r="H32" s="147">
        <f t="shared" si="3"/>
        <v>407305198</v>
      </c>
      <c r="I32" s="174">
        <f t="shared" si="2"/>
        <v>8146103.96</v>
      </c>
    </row>
    <row r="33" spans="4:9">
      <c r="D33" s="173" t="str">
        <f>IF(YEAR(PAF!E33)=YEAR(Assumptions!$D$4),Assumptions!$C$4,IF(YEAR(PAF!E33)=YEAR(Assumptions!$D$5),Assumptions!$C$5,IF(YEAR(PAF!E33)=YEAR(Assumptions!$D$6),Assumptions!$C$6,"")))</f>
        <v/>
      </c>
      <c r="E33" s="78">
        <f t="shared" si="0"/>
        <v>52596</v>
      </c>
      <c r="F33" s="146">
        <f t="shared" si="1"/>
        <v>0</v>
      </c>
      <c r="G33" s="147">
        <f>SUMIFS(Land!$P$7:$P$27,Land!$H$7:$H$27,"Public",Land!$D$7:$D$27,PAF!D33)</f>
        <v>0</v>
      </c>
      <c r="H33" s="147">
        <f t="shared" si="3"/>
        <v>407305198</v>
      </c>
      <c r="I33" s="174">
        <f t="shared" si="2"/>
        <v>8146103.96</v>
      </c>
    </row>
    <row r="34" spans="4:9">
      <c r="D34" s="173" t="str">
        <f>IF(YEAR(PAF!E34)=YEAR(Assumptions!$D$4),Assumptions!$C$4,IF(YEAR(PAF!E34)=YEAR(Assumptions!$D$5),Assumptions!$C$5,IF(YEAR(PAF!E34)=YEAR(Assumptions!$D$6),Assumptions!$C$6,"")))</f>
        <v/>
      </c>
      <c r="E34" s="78">
        <f t="shared" si="0"/>
        <v>52962</v>
      </c>
      <c r="F34" s="146">
        <f t="shared" si="1"/>
        <v>0</v>
      </c>
      <c r="G34" s="147">
        <f>SUMIFS(Land!$P$7:$P$27,Land!$H$7:$H$27,"Public",Land!$D$7:$D$27,PAF!D34)</f>
        <v>0</v>
      </c>
      <c r="H34" s="147">
        <f t="shared" si="3"/>
        <v>407305198</v>
      </c>
      <c r="I34" s="174">
        <f t="shared" si="2"/>
        <v>8146103.96</v>
      </c>
    </row>
    <row r="35" spans="4:9">
      <c r="D35" s="173" t="str">
        <f>IF(YEAR(PAF!E35)=YEAR(Assumptions!$D$4),Assumptions!$C$4,IF(YEAR(PAF!E35)=YEAR(Assumptions!$D$5),Assumptions!$C$5,IF(YEAR(PAF!E35)=YEAR(Assumptions!$D$6),Assumptions!$C$6,"")))</f>
        <v/>
      </c>
      <c r="E35" s="78">
        <f t="shared" si="0"/>
        <v>53327</v>
      </c>
      <c r="F35" s="146">
        <f t="shared" si="1"/>
        <v>0</v>
      </c>
      <c r="G35" s="147">
        <f>SUMIFS(Land!$P$7:$P$27,Land!$H$7:$H$27,"Public",Land!$D$7:$D$27,PAF!D35)</f>
        <v>0</v>
      </c>
      <c r="H35" s="147">
        <f t="shared" si="3"/>
        <v>407305198</v>
      </c>
      <c r="I35" s="174">
        <f t="shared" si="2"/>
        <v>8146103.96</v>
      </c>
    </row>
    <row r="36" spans="4:9">
      <c r="D36" s="173" t="str">
        <f>IF(YEAR(PAF!E36)=YEAR(Assumptions!$D$4),Assumptions!$C$4,IF(YEAR(PAF!E36)=YEAR(Assumptions!$D$5),Assumptions!$C$5,IF(YEAR(PAF!E36)=YEAR(Assumptions!$D$6),Assumptions!$C$6,"")))</f>
        <v/>
      </c>
      <c r="E36" s="78">
        <f t="shared" si="0"/>
        <v>53692</v>
      </c>
      <c r="F36" s="146">
        <f t="shared" si="1"/>
        <v>0</v>
      </c>
      <c r="G36" s="147">
        <f>SUMIFS(Land!$P$7:$P$27,Land!$H$7:$H$27,"Public",Land!$D$7:$D$27,PAF!D36)</f>
        <v>0</v>
      </c>
      <c r="H36" s="147">
        <f t="shared" si="3"/>
        <v>407305198</v>
      </c>
      <c r="I36" s="174">
        <f t="shared" si="2"/>
        <v>8146103.96</v>
      </c>
    </row>
    <row r="37" spans="4:9">
      <c r="D37" s="173" t="str">
        <f>IF(YEAR(PAF!E37)=YEAR(Assumptions!$D$4),Assumptions!$C$4,IF(YEAR(PAF!E37)=YEAR(Assumptions!$D$5),Assumptions!$C$5,IF(YEAR(PAF!E37)=YEAR(Assumptions!$D$6),Assumptions!$C$6,"")))</f>
        <v/>
      </c>
      <c r="E37" s="78">
        <f t="shared" si="0"/>
        <v>54057</v>
      </c>
      <c r="F37" s="146">
        <f t="shared" si="1"/>
        <v>0</v>
      </c>
      <c r="G37" s="147">
        <f>SUMIFS(Land!$P$7:$P$27,Land!$H$7:$H$27,"Public",Land!$D$7:$D$27,PAF!D37)</f>
        <v>0</v>
      </c>
      <c r="H37" s="147">
        <f t="shared" si="3"/>
        <v>407305198</v>
      </c>
      <c r="I37" s="174">
        <f t="shared" si="2"/>
        <v>8146103.96</v>
      </c>
    </row>
    <row r="38" spans="4:9">
      <c r="D38" s="173" t="str">
        <f>IF(YEAR(PAF!E38)=YEAR(Assumptions!$D$4),Assumptions!$C$4,IF(YEAR(PAF!E38)=YEAR(Assumptions!$D$5),Assumptions!$C$5,IF(YEAR(PAF!E38)=YEAR(Assumptions!$D$6),Assumptions!$C$6,"")))</f>
        <v/>
      </c>
      <c r="E38" s="78">
        <f t="shared" si="0"/>
        <v>54423</v>
      </c>
      <c r="F38" s="146">
        <f t="shared" si="1"/>
        <v>0</v>
      </c>
      <c r="G38" s="147">
        <f>SUMIFS(Land!$P$7:$P$27,Land!$H$7:$H$27,"Public",Land!$D$7:$D$27,PAF!D38)</f>
        <v>0</v>
      </c>
      <c r="H38" s="147">
        <f t="shared" si="3"/>
        <v>407305198</v>
      </c>
      <c r="I38" s="174">
        <f t="shared" si="2"/>
        <v>8146103.96</v>
      </c>
    </row>
    <row r="39" spans="4:9">
      <c r="D39" s="173" t="str">
        <f>IF(YEAR(PAF!E39)=YEAR(Assumptions!$D$4),Assumptions!$C$4,IF(YEAR(PAF!E39)=YEAR(Assumptions!$D$5),Assumptions!$C$5,IF(YEAR(PAF!E39)=YEAR(Assumptions!$D$6),Assumptions!$C$6,"")))</f>
        <v/>
      </c>
      <c r="E39" s="78">
        <f t="shared" si="0"/>
        <v>54788</v>
      </c>
      <c r="F39" s="146">
        <f t="shared" si="1"/>
        <v>0</v>
      </c>
      <c r="G39" s="147">
        <f>SUMIFS(Land!$P$7:$P$27,Land!$H$7:$H$27,"Public",Land!$D$7:$D$27,PAF!D39)</f>
        <v>0</v>
      </c>
      <c r="H39" s="147">
        <f t="shared" si="3"/>
        <v>407305198</v>
      </c>
      <c r="I39" s="174">
        <f t="shared" si="2"/>
        <v>8146103.96</v>
      </c>
    </row>
    <row r="40" spans="4:9">
      <c r="D40" s="173" t="str">
        <f>IF(YEAR(PAF!E40)=YEAR(Assumptions!$D$4),Assumptions!$C$4,IF(YEAR(PAF!E40)=YEAR(Assumptions!$D$5),Assumptions!$C$5,IF(YEAR(PAF!E40)=YEAR(Assumptions!$D$6),Assumptions!$C$6,"")))</f>
        <v/>
      </c>
      <c r="E40" s="78">
        <f t="shared" si="0"/>
        <v>55153</v>
      </c>
      <c r="F40" s="146">
        <f t="shared" si="1"/>
        <v>0</v>
      </c>
      <c r="G40" s="147">
        <f>SUMIFS(Land!$P$7:$P$27,Land!$H$7:$H$27,"Public",Land!$D$7:$D$27,PAF!D40)</f>
        <v>0</v>
      </c>
      <c r="H40" s="147">
        <f t="shared" si="3"/>
        <v>407305198</v>
      </c>
      <c r="I40" s="174">
        <f t="shared" si="2"/>
        <v>8146103.96</v>
      </c>
    </row>
    <row r="41" spans="4:9">
      <c r="D41" s="173" t="str">
        <f>IF(YEAR(PAF!E41)=YEAR(Assumptions!$D$4),Assumptions!$C$4,IF(YEAR(PAF!E41)=YEAR(Assumptions!$D$5),Assumptions!$C$5,IF(YEAR(PAF!E41)=YEAR(Assumptions!$D$6),Assumptions!$C$6,"")))</f>
        <v/>
      </c>
      <c r="E41" s="78">
        <f t="shared" si="0"/>
        <v>55518</v>
      </c>
      <c r="F41" s="146">
        <f t="shared" si="1"/>
        <v>0</v>
      </c>
      <c r="G41" s="147">
        <f>SUMIFS(Land!$P$7:$P$27,Land!$H$7:$H$27,"Public",Land!$D$7:$D$27,PAF!D41)</f>
        <v>0</v>
      </c>
      <c r="H41" s="147">
        <f t="shared" si="3"/>
        <v>407305198</v>
      </c>
      <c r="I41" s="174">
        <f t="shared" si="2"/>
        <v>8146103.96</v>
      </c>
    </row>
    <row r="42" spans="4:9">
      <c r="D42" s="173" t="str">
        <f>IF(YEAR(PAF!E42)=YEAR(Assumptions!$D$4),Assumptions!$C$4,IF(YEAR(PAF!E42)=YEAR(Assumptions!$D$5),Assumptions!$C$5,IF(YEAR(PAF!E42)=YEAR(Assumptions!$D$6),Assumptions!$C$6,"")))</f>
        <v/>
      </c>
      <c r="E42" s="78">
        <f t="shared" si="0"/>
        <v>55884</v>
      </c>
      <c r="F42" s="146">
        <f t="shared" si="1"/>
        <v>0</v>
      </c>
      <c r="G42" s="147">
        <f>SUMIFS(Land!$P$7:$P$27,Land!$H$7:$H$27,"Public",Land!$D$7:$D$27,PAF!D42)</f>
        <v>0</v>
      </c>
      <c r="H42" s="147">
        <f t="shared" si="3"/>
        <v>407305198</v>
      </c>
      <c r="I42" s="174">
        <f t="shared" si="2"/>
        <v>8146103.96</v>
      </c>
    </row>
    <row r="43" spans="4:9">
      <c r="D43" s="173" t="str">
        <f>IF(YEAR(PAF!E43)=YEAR(Assumptions!$D$4),Assumptions!$C$4,IF(YEAR(PAF!E43)=YEAR(Assumptions!$D$5),Assumptions!$C$5,IF(YEAR(PAF!E43)=YEAR(Assumptions!$D$6),Assumptions!$C$6,"")))</f>
        <v/>
      </c>
      <c r="E43" s="78">
        <f t="shared" si="0"/>
        <v>56249</v>
      </c>
      <c r="F43" s="146">
        <f t="shared" si="1"/>
        <v>0</v>
      </c>
      <c r="G43" s="147">
        <f>SUMIFS(Land!$P$7:$P$27,Land!$H$7:$H$27,"Public",Land!$D$7:$D$27,PAF!D43)</f>
        <v>0</v>
      </c>
      <c r="H43" s="147">
        <f t="shared" si="3"/>
        <v>407305198</v>
      </c>
      <c r="I43" s="174">
        <f>(H43)*$B$3</f>
        <v>8146103.96</v>
      </c>
    </row>
    <row r="44" spans="4:9">
      <c r="D44" s="40"/>
      <c r="E44" s="78">
        <f t="shared" si="0"/>
        <v>56614</v>
      </c>
      <c r="F44" s="146">
        <f t="shared" si="1"/>
        <v>0</v>
      </c>
      <c r="G44" s="147">
        <f>SUMIFS(Land!$P$7:$P$27,Land!$H$7:$H$27,"Public",Land!$D$7:$D$27,PAF!D44)</f>
        <v>0</v>
      </c>
      <c r="H44" s="147">
        <f t="shared" ref="H44:H48" si="4">F44-G44+H43</f>
        <v>407305198</v>
      </c>
      <c r="I44" s="174">
        <f>(H44-(H14))*$B$3</f>
        <v>7268485.96</v>
      </c>
    </row>
    <row r="45" spans="4:9">
      <c r="D45" s="40"/>
      <c r="E45" s="78">
        <f t="shared" si="0"/>
        <v>56979</v>
      </c>
      <c r="F45" s="146">
        <f t="shared" si="1"/>
        <v>0</v>
      </c>
      <c r="G45" s="147">
        <f>SUMIFS(Land!$P$7:$P$27,Land!$H$7:$H$27,"Public",Land!$D$7:$D$27,PAF!D45)</f>
        <v>0</v>
      </c>
      <c r="H45" s="147">
        <f t="shared" si="4"/>
        <v>407305198</v>
      </c>
      <c r="I45" s="174">
        <f>(H45-(H15))*$B$3</f>
        <v>5627784</v>
      </c>
    </row>
    <row r="46" spans="4:9">
      <c r="D46" s="40"/>
      <c r="E46" s="78">
        <f t="shared" si="0"/>
        <v>57345</v>
      </c>
      <c r="F46" s="146">
        <f t="shared" si="1"/>
        <v>0</v>
      </c>
      <c r="G46" s="147">
        <f>SUMIFS(Land!$P$7:$P$27,Land!$H$7:$H$27,"Public",Land!$D$7:$D$27,PAF!D46)</f>
        <v>0</v>
      </c>
      <c r="H46" s="147">
        <f t="shared" si="4"/>
        <v>407305198</v>
      </c>
      <c r="I46" s="174">
        <f>(H46-(H16))*$B$3</f>
        <v>3627784</v>
      </c>
    </row>
    <row r="47" spans="4:9">
      <c r="D47" s="40"/>
      <c r="E47" s="78">
        <f t="shared" ref="E47:E48" si="5">EOMONTH(E46,12)</f>
        <v>57710</v>
      </c>
      <c r="F47" s="146">
        <f t="shared" si="1"/>
        <v>0</v>
      </c>
      <c r="G47" s="147">
        <f>SUMIFS(Land!$P$7:$P$27,Land!$H$7:$H$27,"Public",Land!$D$7:$D$27,PAF!D47)</f>
        <v>0</v>
      </c>
      <c r="H47" s="147">
        <f t="shared" ref="H47:H48" si="6">F47-G47+H46</f>
        <v>407305198</v>
      </c>
      <c r="I47" s="174">
        <f>(H47-(H17))*$B$3</f>
        <v>2000000</v>
      </c>
    </row>
    <row r="48" spans="4:9" ht="17.100000000000001" thickBot="1">
      <c r="D48" s="200"/>
      <c r="E48" s="417">
        <f t="shared" si="5"/>
        <v>58075</v>
      </c>
      <c r="F48" s="418">
        <f t="shared" si="1"/>
        <v>0</v>
      </c>
      <c r="G48" s="176">
        <f>SUMIFS(Land!$P$7:$P$27,Land!$H$7:$H$27,"Public",Land!$D$7:$D$27,PAF!D48)</f>
        <v>0</v>
      </c>
      <c r="H48" s="176">
        <f t="shared" si="6"/>
        <v>407305198</v>
      </c>
      <c r="I48" s="177">
        <f>(H48-(H18))*$B$3</f>
        <v>0</v>
      </c>
    </row>
    <row r="49" spans="5:5">
      <c r="E49" s="78"/>
    </row>
    <row r="50" spans="5:5">
      <c r="E50" s="78"/>
    </row>
  </sheetData>
  <pageMargins left="0.7" right="0.7" top="0.75" bottom="0.75" header="0.3" footer="0.3"/>
  <pageSetup paperSize="3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661B5-1093-B842-840C-5813F4892027}">
  <sheetPr>
    <tabColor rgb="FF00B0F0"/>
  </sheetPr>
  <dimension ref="A1:AH126"/>
  <sheetViews>
    <sheetView workbookViewId="0">
      <selection activeCell="E4" sqref="E4"/>
    </sheetView>
  </sheetViews>
  <sheetFormatPr defaultColWidth="10.875" defaultRowHeight="15.95"/>
  <cols>
    <col min="1" max="4" width="10.875" style="1"/>
    <col min="5" max="5" width="14.625" style="1" customWidth="1"/>
    <col min="6" max="6" width="15.375" style="1" customWidth="1"/>
    <col min="7" max="7" width="15.5" style="1" bestFit="1" customWidth="1"/>
    <col min="8" max="8" width="15.875" style="1" bestFit="1" customWidth="1"/>
    <col min="9" max="9" width="15.375" style="1" bestFit="1" customWidth="1"/>
    <col min="10" max="10" width="15.5" style="1" bestFit="1" customWidth="1"/>
    <col min="11" max="11" width="12.625" style="1" bestFit="1" customWidth="1"/>
    <col min="12" max="12" width="15.375" style="1" bestFit="1" customWidth="1"/>
    <col min="13" max="13" width="15.5" style="1" bestFit="1" customWidth="1"/>
    <col min="14" max="14" width="12.625" style="1" bestFit="1" customWidth="1"/>
    <col min="15" max="15" width="14.375" style="1" bestFit="1" customWidth="1"/>
    <col min="16" max="17" width="10.875" style="1"/>
    <col min="18" max="18" width="29" style="1" bestFit="1" customWidth="1"/>
    <col min="19" max="20" width="10.875" style="1"/>
    <col min="21" max="21" width="11.875" style="1" bestFit="1" customWidth="1"/>
    <col min="22" max="22" width="20.125" style="1" bestFit="1" customWidth="1"/>
    <col min="23" max="23" width="16" style="1" customWidth="1"/>
    <col min="24" max="24" width="14.625" style="1" customWidth="1"/>
    <col min="25" max="25" width="10.875" style="1"/>
    <col min="26" max="26" width="18.5" style="1" bestFit="1" customWidth="1"/>
    <col min="27" max="27" width="19.625" style="1" bestFit="1" customWidth="1"/>
    <col min="28" max="16384" width="10.875" style="1"/>
  </cols>
  <sheetData>
    <row r="1" spans="1:34">
      <c r="A1" s="1" t="s">
        <v>84</v>
      </c>
    </row>
    <row r="2" spans="1:34">
      <c r="E2" s="81">
        <v>12</v>
      </c>
      <c r="F2" s="81">
        <v>36</v>
      </c>
      <c r="G2" s="81"/>
      <c r="H2" s="81">
        <v>12</v>
      </c>
    </row>
    <row r="3" spans="1:34" ht="17.100000000000001" thickBot="1">
      <c r="C3" s="76" t="s">
        <v>85</v>
      </c>
      <c r="D3" s="55" t="s">
        <v>86</v>
      </c>
      <c r="E3" s="23" t="s">
        <v>87</v>
      </c>
      <c r="F3" s="23" t="s">
        <v>88</v>
      </c>
      <c r="G3" s="23" t="s">
        <v>89</v>
      </c>
      <c r="H3" s="23" t="s">
        <v>90</v>
      </c>
    </row>
    <row r="4" spans="1:34">
      <c r="C4" s="1" t="s">
        <v>91</v>
      </c>
      <c r="D4" s="79">
        <v>44926</v>
      </c>
      <c r="E4" s="77">
        <f>EOMONTH(D4,$E$2)</f>
        <v>45291</v>
      </c>
      <c r="F4" s="77">
        <f>EOMONTH(E4,$F$2)</f>
        <v>46387</v>
      </c>
      <c r="G4" s="77">
        <f>MAX(M41,M52,M88,M98)</f>
        <v>46843</v>
      </c>
      <c r="H4" s="77">
        <f>EOMONTH(G4,H2)</f>
        <v>47208</v>
      </c>
      <c r="R4" s="475" t="s">
        <v>92</v>
      </c>
      <c r="S4" s="476"/>
      <c r="T4" s="476"/>
      <c r="U4" s="476"/>
      <c r="V4" s="477"/>
    </row>
    <row r="5" spans="1:34">
      <c r="C5" s="1" t="s">
        <v>93</v>
      </c>
      <c r="D5" s="79">
        <v>45657</v>
      </c>
      <c r="E5" s="77">
        <f t="shared" ref="E5:E6" si="0">EOMONTH(D5,$E$2)</f>
        <v>46022</v>
      </c>
      <c r="F5" s="77">
        <f>EOMONTH(E5,$F$2)</f>
        <v>47118</v>
      </c>
      <c r="G5" s="77">
        <f>MAX(N41,N52,N88,N98)</f>
        <v>47603</v>
      </c>
      <c r="H5" s="77">
        <f>EOMONTH(G5,H2)</f>
        <v>47968</v>
      </c>
      <c r="R5" s="173"/>
      <c r="S5" s="23"/>
      <c r="T5" s="23"/>
      <c r="U5" s="23"/>
      <c r="V5" s="41"/>
    </row>
    <row r="6" spans="1:34">
      <c r="C6" s="1" t="s">
        <v>94</v>
      </c>
      <c r="D6" s="79">
        <v>46387</v>
      </c>
      <c r="E6" s="77">
        <f t="shared" si="0"/>
        <v>46752</v>
      </c>
      <c r="F6" s="77">
        <f>EOMONTH(E6,$F$2)</f>
        <v>47848</v>
      </c>
      <c r="G6" s="77">
        <f>MAX(O41,O52,O88,O98)</f>
        <v>48152</v>
      </c>
      <c r="H6" s="77">
        <f>EOMONTH(G6,H2)</f>
        <v>48518</v>
      </c>
      <c r="R6" s="206" t="s">
        <v>95</v>
      </c>
      <c r="S6" s="55" t="s">
        <v>91</v>
      </c>
      <c r="T6" s="55" t="s">
        <v>93</v>
      </c>
      <c r="U6" s="55" t="s">
        <v>94</v>
      </c>
      <c r="V6" s="48" t="s">
        <v>54</v>
      </c>
    </row>
    <row r="7" spans="1:34">
      <c r="R7" s="173" t="s">
        <v>96</v>
      </c>
      <c r="S7" s="23">
        <f>Housing!C6</f>
        <v>200</v>
      </c>
      <c r="T7" s="23">
        <f>Housing!D6</f>
        <v>400</v>
      </c>
      <c r="U7" s="23">
        <f>Housing!E6</f>
        <v>250</v>
      </c>
      <c r="V7" s="41">
        <f>SUM(S7:U7)</f>
        <v>850</v>
      </c>
      <c r="AB7" s="23" t="s">
        <v>97</v>
      </c>
      <c r="AC7" s="23"/>
      <c r="AD7" s="1" t="s">
        <v>98</v>
      </c>
      <c r="AE7" s="23" t="s">
        <v>99</v>
      </c>
      <c r="AF7" s="23" t="s">
        <v>100</v>
      </c>
      <c r="AG7" s="23" t="s">
        <v>101</v>
      </c>
      <c r="AH7" s="23" t="s">
        <v>102</v>
      </c>
    </row>
    <row r="8" spans="1:34">
      <c r="G8" s="478" t="s">
        <v>91</v>
      </c>
      <c r="H8" s="478"/>
      <c r="I8" s="478"/>
      <c r="J8" s="478" t="s">
        <v>93</v>
      </c>
      <c r="K8" s="478"/>
      <c r="L8" s="478"/>
      <c r="M8" s="478" t="s">
        <v>94</v>
      </c>
      <c r="N8" s="478"/>
      <c r="O8" s="478"/>
      <c r="R8" s="173" t="s">
        <v>103</v>
      </c>
      <c r="S8" s="203">
        <f>S9/S7</f>
        <v>750</v>
      </c>
      <c r="T8" s="203">
        <f t="shared" ref="T8:U8" si="1">T9/T7</f>
        <v>750</v>
      </c>
      <c r="U8" s="203">
        <f t="shared" si="1"/>
        <v>750</v>
      </c>
      <c r="V8" s="41">
        <f>AVERAGE(S8:U8)</f>
        <v>750</v>
      </c>
      <c r="AA8" s="473" t="s">
        <v>104</v>
      </c>
      <c r="AB8" s="182">
        <v>0.15</v>
      </c>
      <c r="AC8" s="182"/>
      <c r="AD8" s="183">
        <v>359</v>
      </c>
      <c r="AE8" s="183">
        <v>359</v>
      </c>
      <c r="AF8" s="183">
        <v>385</v>
      </c>
      <c r="AG8" s="183">
        <v>462</v>
      </c>
      <c r="AH8" s="183">
        <v>534</v>
      </c>
    </row>
    <row r="9" spans="1:34" ht="17.100000000000001" thickBot="1">
      <c r="C9" s="22" t="s">
        <v>105</v>
      </c>
      <c r="D9" s="22"/>
      <c r="E9" s="3"/>
      <c r="F9" s="3" t="s">
        <v>106</v>
      </c>
      <c r="G9" s="3" t="s">
        <v>107</v>
      </c>
      <c r="H9" s="3" t="s">
        <v>108</v>
      </c>
      <c r="I9" s="3" t="s">
        <v>109</v>
      </c>
      <c r="J9" s="3" t="s">
        <v>107</v>
      </c>
      <c r="K9" s="3" t="s">
        <v>108</v>
      </c>
      <c r="L9" s="3" t="s">
        <v>109</v>
      </c>
      <c r="M9" s="3" t="s">
        <v>107</v>
      </c>
      <c r="N9" s="3" t="s">
        <v>108</v>
      </c>
      <c r="O9" s="3" t="s">
        <v>109</v>
      </c>
      <c r="R9" s="173" t="s">
        <v>110</v>
      </c>
      <c r="S9" s="204">
        <f>Housing!C39</f>
        <v>150000</v>
      </c>
      <c r="T9" s="204">
        <f>Housing!D39</f>
        <v>300000</v>
      </c>
      <c r="U9" s="204">
        <f>Housing!E39</f>
        <v>187500</v>
      </c>
      <c r="V9" s="199">
        <f>SUM(S9:U9)</f>
        <v>637500</v>
      </c>
      <c r="AA9" s="473"/>
      <c r="AB9" s="182">
        <v>0.2</v>
      </c>
      <c r="AC9" s="182"/>
      <c r="AD9" s="183">
        <v>359</v>
      </c>
      <c r="AE9" s="183">
        <v>479</v>
      </c>
      <c r="AF9" s="183">
        <v>513</v>
      </c>
      <c r="AG9" s="183">
        <v>616</v>
      </c>
      <c r="AH9" s="183">
        <v>712</v>
      </c>
    </row>
    <row r="10" spans="1:34">
      <c r="C10" s="10" t="s">
        <v>111</v>
      </c>
      <c r="D10" s="27"/>
      <c r="E10" s="2"/>
      <c r="F10" s="2"/>
      <c r="G10" s="24">
        <f>INDEX(Housing!$I$29:$M$34,MATCH(Assumptions!$C$10,Housing!$I$29:$I$34,0),MATCH(Assumptions!G9,Housing!$I$29:$M$29,0))</f>
        <v>0</v>
      </c>
      <c r="H10" s="28">
        <f>INDEX(Housing!$I$29:$M$34,MATCH(Assumptions!$C$10,Housing!$I$29:$I$34,0),MATCH(Assumptions!H9,Housing!$I$29:$M$29,0))</f>
        <v>0</v>
      </c>
      <c r="I10" s="101">
        <f>INDEX(Housing!$I$29:$M$34,MATCH(Assumptions!$C$10,Housing!$I$29:$I$34,0),MATCH(Assumptions!I9,Housing!$I$29:$M$29,0))</f>
        <v>80</v>
      </c>
      <c r="J10" s="99">
        <f>Housing!K37</f>
        <v>0</v>
      </c>
      <c r="K10" s="98">
        <f>Housing!L37</f>
        <v>0</v>
      </c>
      <c r="L10" s="102">
        <f>Housing!M37</f>
        <v>0</v>
      </c>
      <c r="M10" s="99">
        <f>Housing!K44</f>
        <v>0</v>
      </c>
      <c r="N10" s="98">
        <f>Housing!L44</f>
        <v>0</v>
      </c>
      <c r="O10" s="102">
        <f>Housing!M44</f>
        <v>0</v>
      </c>
      <c r="R10" s="173" t="s">
        <v>112</v>
      </c>
      <c r="S10" s="51">
        <f>Housing!$B$1</f>
        <v>0.8</v>
      </c>
      <c r="T10" s="51">
        <f>Housing!$B$1</f>
        <v>0.8</v>
      </c>
      <c r="U10" s="51">
        <f>Housing!$B$1</f>
        <v>0.8</v>
      </c>
      <c r="V10" s="44">
        <f>AVERAGE(S10:U10)</f>
        <v>0.80000000000000016</v>
      </c>
      <c r="AA10" s="473"/>
      <c r="AB10" s="182">
        <v>0.25</v>
      </c>
      <c r="AC10" s="182" t="s">
        <v>109</v>
      </c>
      <c r="AD10" s="183">
        <v>359</v>
      </c>
      <c r="AE10" s="183">
        <v>599</v>
      </c>
      <c r="AF10" s="183">
        <v>642</v>
      </c>
      <c r="AG10" s="183">
        <v>770</v>
      </c>
      <c r="AH10" s="183">
        <v>890</v>
      </c>
    </row>
    <row r="11" spans="1:34">
      <c r="C11" s="6" t="s">
        <v>113</v>
      </c>
      <c r="D11" s="27"/>
      <c r="E11" s="2"/>
      <c r="F11" s="98">
        <f>AVERAGE(G11:O11)</f>
        <v>200</v>
      </c>
      <c r="G11" s="24">
        <f>INDEX(Housing!$I$11:$M$16,MATCH(Assumptions!$C$10,Housing!$I$11:$I$16,0),MATCH(Assumptions!G9,Housing!$I$11:$M$11,0))</f>
        <v>200</v>
      </c>
      <c r="H11" s="28">
        <f>INDEX(Housing!$I$11:$M$16,MATCH(Assumptions!$C$10,Housing!$I$11:$I$16,0),MATCH(Assumptions!H9,Housing!$I$11:$M$11,0))</f>
        <v>200</v>
      </c>
      <c r="I11" s="101">
        <f>INDEX(Housing!$I$11:$M$16,MATCH(Assumptions!$C$10,Housing!$I$11:$I$16,0),MATCH(Assumptions!I9,Housing!$I$11:$M$11,0))</f>
        <v>200</v>
      </c>
      <c r="J11" s="24">
        <f>INDEX(Housing!$I$11:$M$16,MATCH(Assumptions!$C$10,Housing!$I$11:$I$16,0),MATCH(Assumptions!J9,Housing!$I$11:$M$11,0))</f>
        <v>200</v>
      </c>
      <c r="K11" s="28">
        <f>INDEX(Housing!$I$11:$M$16,MATCH(Assumptions!$C$10,Housing!$I$11:$I$16,0),MATCH(Assumptions!K9,Housing!$I$11:$M$11,0))</f>
        <v>200</v>
      </c>
      <c r="L11" s="101">
        <f>INDEX(Housing!$I$11:$M$16,MATCH(Assumptions!$C$10,Housing!$I$11:$I$16,0),MATCH(Assumptions!L9,Housing!$I$11:$M$11,0))</f>
        <v>200</v>
      </c>
      <c r="M11" s="24">
        <f>INDEX(Housing!$I$11:$M$16,MATCH(Assumptions!$C$10,Housing!$I$11:$I$16,0),MATCH(Assumptions!M9,Housing!$I$11:$M$11,0))</f>
        <v>200</v>
      </c>
      <c r="N11" s="28">
        <f>INDEX(Housing!$I$11:$M$16,MATCH(Assumptions!$C$10,Housing!$I$11:$I$16,0),MATCH(Assumptions!N9,Housing!$I$11:$M$11,0))</f>
        <v>200</v>
      </c>
      <c r="O11" s="101">
        <f>INDEX(Housing!$I$11:$M$16,MATCH(Assumptions!$C$10,Housing!$I$11:$I$16,0),MATCH(Assumptions!O9,Housing!$I$11:$M$11,0))</f>
        <v>200</v>
      </c>
      <c r="R11" s="173" t="s">
        <v>114</v>
      </c>
      <c r="S11" s="204">
        <f>S9/S10</f>
        <v>187500</v>
      </c>
      <c r="T11" s="204">
        <f>T9/T10</f>
        <v>375000</v>
      </c>
      <c r="U11" s="204">
        <f>U9/U10</f>
        <v>234375</v>
      </c>
      <c r="V11" s="199">
        <f>SUM(S11:U11)</f>
        <v>796875</v>
      </c>
      <c r="AA11" s="472" t="s">
        <v>115</v>
      </c>
      <c r="AB11" s="51">
        <v>0.3</v>
      </c>
      <c r="AC11" s="51"/>
      <c r="AD11" s="178">
        <v>719</v>
      </c>
      <c r="AE11" s="178">
        <v>719</v>
      </c>
      <c r="AF11" s="178">
        <v>770</v>
      </c>
      <c r="AG11" s="178">
        <v>924</v>
      </c>
      <c r="AH11" s="178">
        <v>1068</v>
      </c>
    </row>
    <row r="12" spans="1:34">
      <c r="C12" s="6" t="s">
        <v>116</v>
      </c>
      <c r="D12" s="27"/>
      <c r="E12" s="2"/>
      <c r="F12" s="110"/>
      <c r="G12" s="184">
        <f ca="1">+G13/G11</f>
        <v>6.9943857986187457</v>
      </c>
      <c r="H12" s="113">
        <f ca="1">+H13/H11</f>
        <v>3.8156019644968726</v>
      </c>
      <c r="I12" s="185">
        <f ca="1">+I13/I11</f>
        <v>2.0202883139500001</v>
      </c>
      <c r="J12" s="184">
        <f ca="1">+J13/J11</f>
        <v>7.2057911093819946</v>
      </c>
      <c r="K12" s="113">
        <f ca="1">+K13/K11</f>
        <v>3.9309285338737898</v>
      </c>
      <c r="L12" s="185">
        <f ca="1">+L13/L11</f>
        <v>2.0813515282391379</v>
      </c>
      <c r="M12" s="184">
        <f ca="1">+M13/M11</f>
        <v>7.4235861456630641</v>
      </c>
      <c r="N12" s="113">
        <f ca="1">+N13/N11</f>
        <v>4.0497408488101243</v>
      </c>
      <c r="O12" s="185">
        <f ca="1">+O13/O11</f>
        <v>2.1442603781801655</v>
      </c>
      <c r="R12" s="173"/>
      <c r="S12" s="23"/>
      <c r="T12" s="23"/>
      <c r="U12" s="23"/>
      <c r="V12" s="41"/>
      <c r="AA12" s="472"/>
      <c r="AB12" s="51">
        <v>0.35</v>
      </c>
      <c r="AC12" s="51"/>
      <c r="AD12" s="178">
        <v>719</v>
      </c>
      <c r="AE12" s="178">
        <v>839</v>
      </c>
      <c r="AF12" s="178">
        <v>899</v>
      </c>
      <c r="AG12" s="178">
        <v>1078</v>
      </c>
      <c r="AH12" s="178">
        <v>1246</v>
      </c>
    </row>
    <row r="13" spans="1:34">
      <c r="C13" s="6" t="s">
        <v>117</v>
      </c>
      <c r="D13" s="27"/>
      <c r="E13" s="2"/>
      <c r="F13" s="110"/>
      <c r="G13" s="114">
        <f ca="1">AD16*(1+$V$58)^(YEAR($F$4)-YEAR(TODAY()))</f>
        <v>1398.8771597237492</v>
      </c>
      <c r="H13" s="111">
        <f ca="1">AD11*(1+$V$58)^(YEAR($F$4)-YEAR(TODAY()))</f>
        <v>763.12039289937456</v>
      </c>
      <c r="I13" s="186">
        <f ca="1">AD8*(1+$V$50)^(YEAR($F$4)-YEAR(TODAY()))</f>
        <v>404.05766278999999</v>
      </c>
      <c r="J13" s="114">
        <f ca="1">G13*(1+$W$58)^(YEAR($F$5)-YEAR($F$4))</f>
        <v>1441.158221876399</v>
      </c>
      <c r="K13" s="227">
        <f ca="1">H13*(1+$W$58)^(YEAR($F$5)-YEAR($F$4))</f>
        <v>786.18570677475793</v>
      </c>
      <c r="L13" s="227">
        <f ca="1">I13*(1+$W$58)^(YEAR($F$5)-YEAR($F$4))</f>
        <v>416.27030564782763</v>
      </c>
      <c r="M13" s="115">
        <f ca="1">J13*(1+$X$58)^(YEAR($F$6)-YEAR($F$5))</f>
        <v>1484.7172291326128</v>
      </c>
      <c r="N13" s="227">
        <f ca="1">K13*(1+$X$58)^(YEAR($F$6)-YEAR($F$5))</f>
        <v>809.9481697620248</v>
      </c>
      <c r="O13" s="111">
        <f ca="1">L13*(1+$X$58)^(YEAR($F$6)-YEAR($F$5))</f>
        <v>428.85207563603308</v>
      </c>
      <c r="R13" s="206" t="s">
        <v>118</v>
      </c>
      <c r="S13" s="55" t="s">
        <v>91</v>
      </c>
      <c r="T13" s="55" t="s">
        <v>93</v>
      </c>
      <c r="U13" s="55" t="s">
        <v>94</v>
      </c>
      <c r="V13" s="48" t="s">
        <v>54</v>
      </c>
      <c r="AA13" s="472"/>
      <c r="AB13" s="51">
        <v>0.4</v>
      </c>
      <c r="AC13" s="51"/>
      <c r="AD13" s="178">
        <v>719</v>
      </c>
      <c r="AE13" s="178">
        <v>959</v>
      </c>
      <c r="AF13" s="178">
        <v>1027</v>
      </c>
      <c r="AG13" s="178">
        <v>1233</v>
      </c>
      <c r="AH13" s="178">
        <v>1425</v>
      </c>
    </row>
    <row r="14" spans="1:34">
      <c r="C14" s="106" t="s">
        <v>99</v>
      </c>
      <c r="D14" s="107"/>
      <c r="E14" s="107"/>
      <c r="F14" s="104"/>
      <c r="G14" s="103">
        <f>Housing!K31</f>
        <v>0</v>
      </c>
      <c r="H14" s="104">
        <f>Housing!L31</f>
        <v>0</v>
      </c>
      <c r="I14" s="105">
        <f>Housing!M31</f>
        <v>0</v>
      </c>
      <c r="J14" s="103">
        <f>Housing!K38</f>
        <v>0</v>
      </c>
      <c r="K14" s="98">
        <f>Housing!L38</f>
        <v>0</v>
      </c>
      <c r="L14" s="102">
        <f>Housing!M38</f>
        <v>0</v>
      </c>
      <c r="M14" s="99">
        <f>Housing!K45</f>
        <v>0</v>
      </c>
      <c r="N14" s="98">
        <f>Housing!L45</f>
        <v>0</v>
      </c>
      <c r="O14" s="105">
        <f>Housing!M45</f>
        <v>0</v>
      </c>
      <c r="R14" s="173" t="s">
        <v>96</v>
      </c>
      <c r="S14" s="54">
        <f>Housing!C34</f>
        <v>200</v>
      </c>
      <c r="T14" s="54">
        <f>Housing!D34</f>
        <v>171</v>
      </c>
      <c r="U14" s="54">
        <f>Housing!E34</f>
        <v>107</v>
      </c>
      <c r="V14" s="270">
        <f>SUM(S14:U14)</f>
        <v>478</v>
      </c>
      <c r="AA14" s="472"/>
      <c r="AB14" s="51">
        <v>0.45</v>
      </c>
      <c r="AC14" s="51"/>
      <c r="AD14" s="178">
        <v>719</v>
      </c>
      <c r="AE14" s="178">
        <v>1078</v>
      </c>
      <c r="AF14" s="178">
        <v>1155</v>
      </c>
      <c r="AG14" s="178">
        <v>1387</v>
      </c>
      <c r="AH14" s="178">
        <v>1603</v>
      </c>
    </row>
    <row r="15" spans="1:34">
      <c r="C15" s="6" t="s">
        <v>113</v>
      </c>
      <c r="D15" s="2"/>
      <c r="E15" s="2"/>
      <c r="F15" s="98">
        <f>AVERAGE(G15:O15)</f>
        <v>500</v>
      </c>
      <c r="G15" s="99">
        <f>INDEX(Housing!$I$11:$M$16,MATCH(Assumptions!$C$14,Housing!$I$11:$I$16,0),MATCH(Assumptions!G9,Housing!$I$11:$M$11,0))</f>
        <v>500</v>
      </c>
      <c r="H15" s="98">
        <f>INDEX(Housing!$I$11:$M$16,MATCH(Assumptions!$C$14,Housing!$I$11:$I$16,0),MATCH(Assumptions!H9,Housing!$I$11:$M$11,0))</f>
        <v>500</v>
      </c>
      <c r="I15" s="102">
        <f>INDEX(Housing!$I$11:$M$16,MATCH(Assumptions!$C$14,Housing!$I$11:$I$16,0),MATCH(Assumptions!I9,Housing!$I$11:$M$11,0))</f>
        <v>500</v>
      </c>
      <c r="J15" s="99">
        <f>INDEX(Housing!$I$11:$M$16,MATCH(Assumptions!$C$14,Housing!$I$11:$I$16,0),MATCH(Assumptions!J9,Housing!$I$11:$M$11,0))</f>
        <v>500</v>
      </c>
      <c r="K15" s="98">
        <f>INDEX(Housing!$I$11:$M$16,MATCH(Assumptions!$C$14,Housing!$I$11:$I$16,0),MATCH(Assumptions!K9,Housing!$I$11:$M$11,0))</f>
        <v>500</v>
      </c>
      <c r="L15" s="102">
        <f>INDEX(Housing!$I$11:$M$16,MATCH(Assumptions!$C$14,Housing!$I$11:$I$16,0),MATCH(Assumptions!L9,Housing!$I$11:$M$11,0))</f>
        <v>500</v>
      </c>
      <c r="M15" s="99">
        <f>INDEX(Housing!$I$11:$M$16,MATCH(Assumptions!$C$14,Housing!$I$11:$I$16,0),MATCH(Assumptions!M9,Housing!$I$11:$M$11,0))</f>
        <v>500</v>
      </c>
      <c r="N15" s="98">
        <f>INDEX(Housing!$I$11:$M$16,MATCH(Assumptions!$C$14,Housing!$I$11:$I$16,0),MATCH(Assumptions!N9,Housing!$I$11:$M$11,0))</f>
        <v>500</v>
      </c>
      <c r="O15" s="102">
        <f>INDEX(Housing!$I$11:$M$16,MATCH(Assumptions!$C$14,Housing!$I$11:$I$16,0),MATCH(Assumptions!O9,Housing!$I$11:$M$11,0))</f>
        <v>500</v>
      </c>
      <c r="R15" s="173" t="s">
        <v>119</v>
      </c>
      <c r="S15" s="203">
        <f>S16/S14</f>
        <v>539</v>
      </c>
      <c r="T15" s="203">
        <f t="shared" ref="T15:U15" si="2">T16/T14</f>
        <v>765</v>
      </c>
      <c r="U15" s="203">
        <f t="shared" si="2"/>
        <v>765</v>
      </c>
      <c r="V15" s="270">
        <f>AVERAGE(S15:U15)</f>
        <v>689.66666666666663</v>
      </c>
      <c r="AA15" s="472"/>
      <c r="AB15" s="51">
        <v>0.5</v>
      </c>
      <c r="AC15" s="51" t="s">
        <v>108</v>
      </c>
      <c r="AD15" s="178">
        <v>719</v>
      </c>
      <c r="AE15" s="178">
        <v>1198</v>
      </c>
      <c r="AF15" s="178">
        <v>1284</v>
      </c>
      <c r="AG15" s="178">
        <v>1541</v>
      </c>
      <c r="AH15" s="178">
        <v>1781</v>
      </c>
    </row>
    <row r="16" spans="1:34">
      <c r="C16" s="6" t="s">
        <v>116</v>
      </c>
      <c r="D16" s="2"/>
      <c r="E16" s="2"/>
      <c r="F16" s="110"/>
      <c r="G16" s="184">
        <f ca="1">+G17/G15</f>
        <v>4.0713905801974981</v>
      </c>
      <c r="H16" s="113">
        <f t="shared" ref="H16:O16" ca="1" si="3">+H17/H15</f>
        <v>2.5430270672974986</v>
      </c>
      <c r="I16" s="113">
        <f t="shared" ca="1" si="3"/>
        <v>1.34835955438</v>
      </c>
      <c r="J16" s="184">
        <f t="shared" ca="1" si="3"/>
        <v>4.1944483604839657</v>
      </c>
      <c r="K16" s="113">
        <f t="shared" ca="1" si="3"/>
        <v>2.6198900604065649</v>
      </c>
      <c r="L16" s="113">
        <f t="shared" ca="1" si="3"/>
        <v>1.3891137219111351</v>
      </c>
      <c r="M16" s="184">
        <f t="shared" ca="1" si="3"/>
        <v>4.3212255621795927</v>
      </c>
      <c r="N16" s="113">
        <f t="shared" ca="1" si="3"/>
        <v>2.6990762374823527</v>
      </c>
      <c r="O16" s="113">
        <f t="shared" ca="1" si="3"/>
        <v>1.4310996841558987</v>
      </c>
      <c r="R16" s="173" t="s">
        <v>110</v>
      </c>
      <c r="S16" s="204">
        <f>Housing!C43</f>
        <v>107800</v>
      </c>
      <c r="T16" s="204">
        <f>Housing!D43</f>
        <v>130815</v>
      </c>
      <c r="U16" s="204">
        <f>Housing!E43</f>
        <v>81855</v>
      </c>
      <c r="V16" s="199">
        <f>SUM(S16:U16)</f>
        <v>320470</v>
      </c>
      <c r="AA16" s="473" t="s">
        <v>120</v>
      </c>
      <c r="AB16" s="182">
        <v>0.55000000000000004</v>
      </c>
      <c r="AC16" s="182"/>
      <c r="AD16" s="183">
        <v>1318</v>
      </c>
      <c r="AE16" s="183">
        <v>1318</v>
      </c>
      <c r="AF16" s="183">
        <v>1412</v>
      </c>
      <c r="AG16" s="183">
        <v>1695</v>
      </c>
      <c r="AH16" s="183">
        <v>1959</v>
      </c>
    </row>
    <row r="17" spans="3:34">
      <c r="C17" s="6" t="s">
        <v>117</v>
      </c>
      <c r="D17" s="2"/>
      <c r="E17" s="2"/>
      <c r="F17" s="111"/>
      <c r="G17" s="114">
        <f ca="1">AE21*(1+$V$58)^(YEAR($F$4)-YEAR(TODAY()))</f>
        <v>2035.695290098749</v>
      </c>
      <c r="H17" s="111">
        <f ca="1">AE15*(1+$V$58)^(YEAR($F$4)-YEAR(TODAY()))</f>
        <v>1271.5135336487492</v>
      </c>
      <c r="I17" s="186">
        <f ca="1">AE10*(1+$V$50)^(YEAR($F$4)-YEAR(TODAY()))</f>
        <v>674.17977718999998</v>
      </c>
      <c r="J17" s="114">
        <f ca="1">G17*(1+$W$58)^(YEAR($F$5)-YEAR($F$4))</f>
        <v>2097.224180241983</v>
      </c>
      <c r="K17" s="227">
        <f ca="1">H17*(1+$W$58)^(YEAR($F$5)-YEAR($F$4))</f>
        <v>1309.9450302032824</v>
      </c>
      <c r="L17" s="227">
        <f ca="1">I17*(1+$W$58)^(YEAR($F$5)-YEAR($F$4))</f>
        <v>694.55686095556757</v>
      </c>
      <c r="M17" s="115">
        <f ca="1">J17*(1+$X$58)^(YEAR($F$6)-YEAR($F$5))</f>
        <v>2160.6127810897965</v>
      </c>
      <c r="N17" s="227">
        <f ca="1">K17*(1+$X$58)^(YEAR($F$6)-YEAR($F$5))</f>
        <v>1349.5381187411763</v>
      </c>
      <c r="O17" s="111">
        <f ca="1">L17*(1+$X$58)^(YEAR($F$6)-YEAR($F$5))</f>
        <v>715.54984207794939</v>
      </c>
      <c r="R17" s="173" t="s">
        <v>112</v>
      </c>
      <c r="S17" s="51">
        <f>Housing!$B$2</f>
        <v>0.85</v>
      </c>
      <c r="T17" s="51">
        <f>Housing!$B$2</f>
        <v>0.85</v>
      </c>
      <c r="U17" s="51">
        <f>Housing!$B$2</f>
        <v>0.85</v>
      </c>
      <c r="V17" s="45">
        <f>AVERAGE(S17:U17)</f>
        <v>0.85</v>
      </c>
      <c r="AA17" s="473"/>
      <c r="AB17" s="182">
        <v>0.6</v>
      </c>
      <c r="AC17" s="182"/>
      <c r="AD17" s="183">
        <v>1318</v>
      </c>
      <c r="AE17" s="183">
        <v>1438</v>
      </c>
      <c r="AF17" s="183">
        <v>1541</v>
      </c>
      <c r="AG17" s="183">
        <v>1849</v>
      </c>
      <c r="AH17" s="183">
        <v>2137</v>
      </c>
    </row>
    <row r="18" spans="3:34">
      <c r="C18" s="106" t="s">
        <v>100</v>
      </c>
      <c r="D18" s="107"/>
      <c r="E18" s="107"/>
      <c r="F18" s="104"/>
      <c r="G18" s="103">
        <f>Housing!K32</f>
        <v>0</v>
      </c>
      <c r="H18" s="104">
        <f>Housing!L32</f>
        <v>0</v>
      </c>
      <c r="I18" s="105">
        <f>Housing!M32</f>
        <v>0</v>
      </c>
      <c r="J18" s="103">
        <f>Housing!K39</f>
        <v>0</v>
      </c>
      <c r="K18" s="98">
        <f>Housing!L39</f>
        <v>0</v>
      </c>
      <c r="L18" s="102">
        <f>Housing!M39</f>
        <v>0</v>
      </c>
      <c r="M18" s="99">
        <f>Housing!K46</f>
        <v>0</v>
      </c>
      <c r="N18" s="98">
        <f>Housing!L46</f>
        <v>0</v>
      </c>
      <c r="O18" s="105">
        <f>Housing!M46</f>
        <v>0</v>
      </c>
      <c r="R18" s="173" t="s">
        <v>114</v>
      </c>
      <c r="S18" s="204">
        <f>S16/S17</f>
        <v>126823.52941176471</v>
      </c>
      <c r="T18" s="204">
        <f>T16/T17</f>
        <v>153900</v>
      </c>
      <c r="U18" s="204">
        <f>U16/U17</f>
        <v>96300</v>
      </c>
      <c r="V18" s="199">
        <f>SUM(S18:U18)</f>
        <v>377023.5294117647</v>
      </c>
      <c r="AA18" s="473"/>
      <c r="AB18" s="182">
        <v>0.65</v>
      </c>
      <c r="AC18" s="182"/>
      <c r="AD18" s="183">
        <v>1318</v>
      </c>
      <c r="AE18" s="183">
        <v>1558</v>
      </c>
      <c r="AF18" s="183">
        <v>1669</v>
      </c>
      <c r="AG18" s="183">
        <v>2003</v>
      </c>
      <c r="AH18" s="183">
        <v>2315</v>
      </c>
    </row>
    <row r="19" spans="3:34">
      <c r="C19" s="6" t="s">
        <v>113</v>
      </c>
      <c r="D19" s="2"/>
      <c r="E19" s="2"/>
      <c r="F19" s="98">
        <f>AVERAGE(G19:O19)</f>
        <v>700</v>
      </c>
      <c r="G19" s="99">
        <f>INDEX(Housing!$I$11:$M$16,MATCH(Assumptions!$C$18,Housing!$I$11:$I$16,0),MATCH(Assumptions!G9,Housing!$I$11:$M$11,0))</f>
        <v>700</v>
      </c>
      <c r="H19" s="98">
        <f>INDEX(Housing!$I$11:$M$16,MATCH(Assumptions!$C$18,Housing!$I$11:$I$16,0),MATCH(Assumptions!H9,Housing!$I$11:$M$11,0))</f>
        <v>700</v>
      </c>
      <c r="I19" s="102">
        <f>INDEX(Housing!$I$11:$M$16,MATCH(Assumptions!$C$18,Housing!$I$11:$I$16,0),MATCH(Assumptions!I9,Housing!$I$11:$M$11,0))</f>
        <v>700</v>
      </c>
      <c r="J19" s="99">
        <f>INDEX(Housing!$I$11:$M$16,MATCH(Assumptions!$C$18,Housing!$I$11:$I$16,0),MATCH(Assumptions!J9,Housing!$I$11:$M$11,0))</f>
        <v>700</v>
      </c>
      <c r="K19" s="98">
        <f>INDEX(Housing!$I$11:$M$16,MATCH(Assumptions!$C$18,Housing!$I$11:$I$16,0),MATCH(Assumptions!K9,Housing!$I$11:$M$11,0))</f>
        <v>700</v>
      </c>
      <c r="L19" s="102">
        <f>INDEX(Housing!$I$11:$M$16,MATCH(Assumptions!$C$18,Housing!$I$11:$I$16,0),MATCH(Assumptions!L9,Housing!$I$11:$M$11,0))</f>
        <v>700</v>
      </c>
      <c r="M19" s="99">
        <f>INDEX(Housing!$I$11:$M$16,MATCH(Assumptions!$C$18,Housing!$I$11:$I$16,0),MATCH(Assumptions!M9,Housing!$I$11:$M$11,0))</f>
        <v>700</v>
      </c>
      <c r="N19" s="98">
        <f>INDEX(Housing!$I$11:$M$16,MATCH(Assumptions!$C$18,Housing!$I$11:$I$16,0),MATCH(Assumptions!N9,Housing!$I$11:$M$11,0))</f>
        <v>700</v>
      </c>
      <c r="O19" s="102">
        <f>INDEX(Housing!$I$11:$M$16,MATCH(Assumptions!$C$18,Housing!$I$11:$I$16,0),MATCH(Assumptions!O9,Housing!$I$11:$M$11,0))</f>
        <v>700</v>
      </c>
      <c r="R19" s="173"/>
      <c r="S19" s="23"/>
      <c r="T19" s="23"/>
      <c r="U19" s="23"/>
      <c r="V19" s="41"/>
      <c r="AA19" s="473"/>
      <c r="AB19" s="182">
        <v>0.7</v>
      </c>
      <c r="AC19" s="182"/>
      <c r="AD19" s="183">
        <v>1318</v>
      </c>
      <c r="AE19" s="183">
        <v>1678</v>
      </c>
      <c r="AF19" s="183">
        <v>1798</v>
      </c>
      <c r="AG19" s="183">
        <v>2157</v>
      </c>
      <c r="AH19" s="183">
        <v>2493</v>
      </c>
    </row>
    <row r="20" spans="3:34">
      <c r="C20" s="6" t="s">
        <v>116</v>
      </c>
      <c r="D20" s="2"/>
      <c r="E20" s="2"/>
      <c r="F20" s="110"/>
      <c r="G20" s="184">
        <f ca="1">+G21/G19</f>
        <v>3.1158601379062483</v>
      </c>
      <c r="H20" s="113">
        <f t="shared" ref="H20:O20" ca="1" si="4">+H21/H19</f>
        <v>1.9468439985749988</v>
      </c>
      <c r="I20" s="113">
        <f t="shared" ca="1" si="4"/>
        <v>1.0322523657428571</v>
      </c>
      <c r="J20" s="184">
        <f t="shared" ca="1" si="4"/>
        <v>3.2100370105744638</v>
      </c>
      <c r="K20" s="113">
        <f t="shared" ca="1" si="4"/>
        <v>2.0056873584319277</v>
      </c>
      <c r="L20" s="113">
        <f t="shared" ca="1" si="4"/>
        <v>1.0634521934974346</v>
      </c>
      <c r="M20" s="184">
        <f t="shared" ca="1" si="4"/>
        <v>3.307060379219076</v>
      </c>
      <c r="N20" s="113">
        <f t="shared" ca="1" si="4"/>
        <v>2.0663092588405321</v>
      </c>
      <c r="O20" s="113">
        <f t="shared" ca="1" si="4"/>
        <v>1.0955950360458944</v>
      </c>
      <c r="R20" s="206" t="s">
        <v>121</v>
      </c>
      <c r="S20" s="55" t="s">
        <v>91</v>
      </c>
      <c r="T20" s="55" t="s">
        <v>93</v>
      </c>
      <c r="U20" s="55" t="s">
        <v>94</v>
      </c>
      <c r="V20" s="48" t="s">
        <v>54</v>
      </c>
      <c r="AA20" s="473"/>
      <c r="AB20" s="182">
        <v>0.75</v>
      </c>
      <c r="AC20" s="182"/>
      <c r="AD20" s="183">
        <v>1318</v>
      </c>
      <c r="AE20" s="183">
        <v>1798</v>
      </c>
      <c r="AF20" s="183">
        <v>1926</v>
      </c>
      <c r="AG20" s="183">
        <v>2311</v>
      </c>
      <c r="AH20" s="183">
        <v>2671</v>
      </c>
    </row>
    <row r="21" spans="3:34">
      <c r="C21" s="6" t="s">
        <v>117</v>
      </c>
      <c r="D21" s="2"/>
      <c r="E21" s="2"/>
      <c r="F21" s="111"/>
      <c r="G21" s="114">
        <f ca="1">AF21*(1+$V$58)^(YEAR($F$4)-YEAR(TODAY()))</f>
        <v>2181.1020965343737</v>
      </c>
      <c r="H21" s="111">
        <f ca="1">AF15*(1+$V$58)^(YEAR($F$4)-YEAR(TODAY()))</f>
        <v>1362.7907990024992</v>
      </c>
      <c r="I21" s="186">
        <f ca="1">AF10*(1+$V$50)^(YEAR($F$4)-YEAR(TODAY()))</f>
        <v>722.57665601999997</v>
      </c>
      <c r="J21" s="114">
        <f ca="1">G21*(1+$W$58)^(YEAR($F$5)-YEAR($F$4))</f>
        <v>2247.0259074021246</v>
      </c>
      <c r="K21" s="227">
        <f ca="1">H21*(1+$W$58)^(YEAR($F$5)-YEAR($F$4))</f>
        <v>1403.9811509023493</v>
      </c>
      <c r="L21" s="227">
        <f ca="1">I21*(1+$W$58)^(YEAR($F$5)-YEAR($F$4))</f>
        <v>744.41653544820429</v>
      </c>
      <c r="M21" s="115">
        <f ca="1">J21*(1+$X$58)^(YEAR($F$6)-YEAR($F$5))</f>
        <v>2314.9422654533532</v>
      </c>
      <c r="N21" s="227">
        <f ca="1">K21*(1+$X$58)^(YEAR($F$6)-YEAR($F$5))</f>
        <v>1446.4164811883725</v>
      </c>
      <c r="O21" s="111">
        <f ca="1">L21*(1+$X$58)^(YEAR($F$6)-YEAR($F$5))</f>
        <v>766.91652523212611</v>
      </c>
      <c r="R21" s="173" t="s">
        <v>96</v>
      </c>
      <c r="S21" s="54">
        <f>S7+S14</f>
        <v>400</v>
      </c>
      <c r="T21" s="54">
        <f>T7+T14</f>
        <v>571</v>
      </c>
      <c r="U21" s="54">
        <f>U7+U14</f>
        <v>357</v>
      </c>
      <c r="V21" s="270">
        <f>SUM(S21:U21)</f>
        <v>1328</v>
      </c>
      <c r="AA21" s="473"/>
      <c r="AB21" s="182">
        <v>0.8</v>
      </c>
      <c r="AC21" s="182" t="s">
        <v>107</v>
      </c>
      <c r="AD21" s="183">
        <v>1318</v>
      </c>
      <c r="AE21" s="183">
        <v>1918</v>
      </c>
      <c r="AF21" s="183">
        <v>2055</v>
      </c>
      <c r="AG21" s="183">
        <v>2466</v>
      </c>
      <c r="AH21" s="183">
        <v>2850</v>
      </c>
    </row>
    <row r="22" spans="3:34">
      <c r="C22" s="106" t="s">
        <v>101</v>
      </c>
      <c r="D22" s="15"/>
      <c r="E22" s="15"/>
      <c r="F22" s="104"/>
      <c r="G22" s="103">
        <f>Housing!K33</f>
        <v>72</v>
      </c>
      <c r="H22" s="104">
        <f>Housing!L33</f>
        <v>36</v>
      </c>
      <c r="I22" s="105">
        <f>Housing!M33</f>
        <v>0</v>
      </c>
      <c r="J22" s="103">
        <f>Housing!K40</f>
        <v>102.60000000000001</v>
      </c>
      <c r="K22" s="98">
        <f>Housing!L40</f>
        <v>51.300000000000004</v>
      </c>
      <c r="L22" s="98">
        <f>Housing!M40</f>
        <v>0</v>
      </c>
      <c r="M22" s="99">
        <f>Housing!K47</f>
        <v>63.9</v>
      </c>
      <c r="N22" s="98">
        <f>Housing!L47</f>
        <v>32.4</v>
      </c>
      <c r="O22" s="105">
        <f>Housing!M47</f>
        <v>0</v>
      </c>
      <c r="R22" s="173" t="s">
        <v>122</v>
      </c>
      <c r="S22" s="204">
        <f>S16+S9</f>
        <v>257800</v>
      </c>
      <c r="T22" s="204">
        <f>T16+T9</f>
        <v>430815</v>
      </c>
      <c r="U22" s="204">
        <f>U16+U9</f>
        <v>269355</v>
      </c>
      <c r="V22" s="199">
        <f>SUM(S22:U22)</f>
        <v>957970</v>
      </c>
    </row>
    <row r="23" spans="3:34">
      <c r="C23" s="6" t="s">
        <v>113</v>
      </c>
      <c r="D23" s="10"/>
      <c r="E23" s="10"/>
      <c r="F23" s="98">
        <f>AVERAGE(G23:O23)</f>
        <v>750</v>
      </c>
      <c r="G23" s="99">
        <f>INDEX(Housing!$I$11:$M$16,MATCH(Assumptions!$C$22,Housing!$I$11:$I$16,0),MATCH(Assumptions!G9,Housing!$I$11:$M$11,0))</f>
        <v>750</v>
      </c>
      <c r="H23" s="98">
        <f>INDEX(Housing!$I$11:$M$16,MATCH(Assumptions!$C$22,Housing!$I$11:$I$16,0),MATCH(Assumptions!H9,Housing!$I$11:$M$11,0))</f>
        <v>750</v>
      </c>
      <c r="I23" s="102">
        <f>INDEX(Housing!$I$11:$M$16,MATCH(Assumptions!$C$22,Housing!$I$11:$I$16,0),MATCH(Assumptions!I9,Housing!$I$11:$M$11,0))</f>
        <v>750</v>
      </c>
      <c r="J23" s="99">
        <f>INDEX(Housing!$I$11:$M$16,MATCH(Assumptions!$C$22,Housing!$I$11:$I$16,0),MATCH(Assumptions!J9,Housing!$I$11:$M$11,0))</f>
        <v>750</v>
      </c>
      <c r="K23" s="98">
        <f>INDEX(Housing!$I$11:$M$16,MATCH(Assumptions!$C$22,Housing!$I$11:$I$16,0),MATCH(Assumptions!K9,Housing!$I$11:$M$11,0))</f>
        <v>750</v>
      </c>
      <c r="L23" s="102">
        <f>INDEX(Housing!$I$11:$M$16,MATCH(Assumptions!$C$22,Housing!$I$11:$I$16,0),MATCH(Assumptions!L9,Housing!$I$11:$M$11,0))</f>
        <v>750</v>
      </c>
      <c r="M23" s="99">
        <f>INDEX(Housing!$I$11:$M$16,MATCH(Assumptions!$C$22,Housing!$I$11:$I$16,0),MATCH(Assumptions!M9,Housing!$I$11:$M$11,0))</f>
        <v>750</v>
      </c>
      <c r="N23" s="98">
        <f>INDEX(Housing!$I$11:$M$16,MATCH(Assumptions!$C$22,Housing!$I$11:$I$16,0),MATCH(Assumptions!N9,Housing!$I$11:$M$11,0))</f>
        <v>750</v>
      </c>
      <c r="O23" s="102">
        <f>INDEX(Housing!$I$11:$M$16,MATCH(Assumptions!$C$22,Housing!$I$11:$I$16,0),MATCH(Assumptions!O9,Housing!$I$11:$M$11,0))</f>
        <v>750</v>
      </c>
      <c r="R23" s="173" t="s">
        <v>123</v>
      </c>
      <c r="S23" s="204">
        <f>S11+S18</f>
        <v>314323.5294117647</v>
      </c>
      <c r="T23" s="204">
        <f>T11+T18</f>
        <v>528900</v>
      </c>
      <c r="U23" s="204">
        <f>U11+U18</f>
        <v>330675</v>
      </c>
      <c r="V23" s="199">
        <f>SUM(S23:U23)</f>
        <v>1173898.5294117648</v>
      </c>
    </row>
    <row r="24" spans="3:34">
      <c r="C24" s="6" t="s">
        <v>116</v>
      </c>
      <c r="D24" s="10"/>
      <c r="E24" s="10"/>
      <c r="F24" s="110"/>
      <c r="G24" s="184">
        <f ca="1">+G25/G23</f>
        <v>3.4897633544549982</v>
      </c>
      <c r="H24" s="113">
        <f t="shared" ref="H24:O24" ca="1" si="5">+H25/H23</f>
        <v>2.1807483086841652</v>
      </c>
      <c r="I24" s="113">
        <f t="shared" ca="1" si="5"/>
        <v>1.1555223782666666</v>
      </c>
      <c r="J24" s="184">
        <f t="shared" ca="1" si="5"/>
        <v>3.5952414518433997</v>
      </c>
      <c r="K24" s="113">
        <f t="shared" ca="1" si="5"/>
        <v>2.2466614263141436</v>
      </c>
      <c r="L24" s="113">
        <f t="shared" ca="1" si="5"/>
        <v>1.1904480421497763</v>
      </c>
      <c r="M24" s="184">
        <f t="shared" ca="1" si="5"/>
        <v>3.7039076247253657</v>
      </c>
      <c r="N24" s="113">
        <f t="shared" ca="1" si="5"/>
        <v>2.3145667679244881</v>
      </c>
      <c r="O24" s="113">
        <f t="shared" ca="1" si="5"/>
        <v>1.2264293342237529</v>
      </c>
      <c r="R24" s="173"/>
      <c r="S24" s="23"/>
      <c r="T24" s="23"/>
      <c r="U24" s="23"/>
      <c r="V24" s="41"/>
    </row>
    <row r="25" spans="3:34">
      <c r="C25" s="6" t="s">
        <v>117</v>
      </c>
      <c r="D25" s="10"/>
      <c r="E25" s="10"/>
      <c r="F25" s="111"/>
      <c r="G25" s="114">
        <f ca="1">AG21*(1+$V$58)^(YEAR($F$4)-YEAR(TODAY()))</f>
        <v>2617.3225158412488</v>
      </c>
      <c r="H25" s="111">
        <f ca="1">AG15*(1+$V$58)^(YEAR($F$4)-YEAR(TODAY()))</f>
        <v>1635.5612315131241</v>
      </c>
      <c r="I25" s="186">
        <f ca="1">AG10*(1+$V$50)^(YEAR($F$4)-YEAR(TODAY()))</f>
        <v>866.64178369999991</v>
      </c>
      <c r="J25" s="114">
        <f ca="1">G25*(1+$W$58)^(YEAR($F$5)-YEAR($F$4))</f>
        <v>2696.4310888825498</v>
      </c>
      <c r="K25" s="227">
        <f ca="1">H25*(1+$W$58)^(YEAR($F$5)-YEAR($F$4))</f>
        <v>1684.9960697356078</v>
      </c>
      <c r="L25" s="227">
        <f ca="1">I25*(1+$W$58)^(YEAR($F$5)-YEAR($F$4))</f>
        <v>892.83603161233214</v>
      </c>
      <c r="M25" s="115">
        <f ca="1">J25*(1+$X$58)^(YEAR($F$6)-YEAR($F$5))</f>
        <v>2777.9307185440243</v>
      </c>
      <c r="N25" s="227">
        <f ca="1">K25*(1+$X$58)^(YEAR($F$6)-YEAR($F$5))</f>
        <v>1735.925075943366</v>
      </c>
      <c r="O25" s="111">
        <f ca="1">L25*(1+$X$58)^(YEAR($F$6)-YEAR($F$5))</f>
        <v>919.82200066781468</v>
      </c>
      <c r="R25" s="206" t="s">
        <v>124</v>
      </c>
      <c r="S25" s="55" t="s">
        <v>91</v>
      </c>
      <c r="T25" s="55" t="s">
        <v>93</v>
      </c>
      <c r="U25" s="55" t="s">
        <v>94</v>
      </c>
      <c r="V25" s="48" t="s">
        <v>54</v>
      </c>
    </row>
    <row r="26" spans="3:34">
      <c r="C26" s="106" t="s">
        <v>102</v>
      </c>
      <c r="D26" s="15"/>
      <c r="E26" s="15"/>
      <c r="F26" s="104"/>
      <c r="G26" s="103">
        <f>Housing!K34</f>
        <v>8</v>
      </c>
      <c r="H26" s="104">
        <f>Housing!L34</f>
        <v>4</v>
      </c>
      <c r="I26" s="105">
        <f>Housing!M34</f>
        <v>0</v>
      </c>
      <c r="J26" s="103">
        <f>Housing!K41</f>
        <v>11.4</v>
      </c>
      <c r="K26" s="98">
        <f>Housing!L41</f>
        <v>5.7</v>
      </c>
      <c r="L26" s="102">
        <f>Housing!M41</f>
        <v>0</v>
      </c>
      <c r="M26" s="99">
        <f>Housing!K48</f>
        <v>7.1000000000000005</v>
      </c>
      <c r="N26" s="98">
        <f>Housing!L48</f>
        <v>3.6</v>
      </c>
      <c r="O26" s="105">
        <f>Housing!M48</f>
        <v>0</v>
      </c>
      <c r="R26" s="271" t="s">
        <v>125</v>
      </c>
      <c r="S26" s="91">
        <f>G87</f>
        <v>180000</v>
      </c>
      <c r="T26" s="91">
        <f t="shared" ref="T26:U26" si="6">H87</f>
        <v>100000</v>
      </c>
      <c r="U26" s="91">
        <f t="shared" si="6"/>
        <v>90000</v>
      </c>
      <c r="V26" s="199">
        <f>SUM(S26:U26)</f>
        <v>370000</v>
      </c>
      <c r="AB26" s="76" t="s">
        <v>91</v>
      </c>
      <c r="AC26" s="76" t="s">
        <v>93</v>
      </c>
      <c r="AD26" s="76" t="s">
        <v>94</v>
      </c>
    </row>
    <row r="27" spans="3:34">
      <c r="C27" s="6" t="s">
        <v>113</v>
      </c>
      <c r="D27" s="10"/>
      <c r="E27" s="10"/>
      <c r="F27" s="98">
        <v>1000</v>
      </c>
      <c r="G27" s="99">
        <f>INDEX(Housing!$I$11:$M$16,MATCH(Assumptions!$C$26,Housing!$I$11:$I$16,0),MATCH(Assumptions!G9,Housing!$I$11:$M$11,0))</f>
        <v>900</v>
      </c>
      <c r="H27" s="98">
        <f>INDEX(Housing!$I$11:$M$16,MATCH(Assumptions!$C$26,Housing!$I$11:$I$16,0),MATCH(Assumptions!H9,Housing!$I$11:$M$11,0))</f>
        <v>900</v>
      </c>
      <c r="I27" s="102">
        <f>INDEX(Housing!$I$11:$M$16,MATCH(Assumptions!$C$26,Housing!$I$11:$I$16,0),MATCH(Assumptions!I9,Housing!$I$11:$M$11,0))</f>
        <v>900</v>
      </c>
      <c r="J27" s="99">
        <f>INDEX(Housing!$I$11:$M$16,MATCH(Assumptions!$C$26,Housing!$I$11:$I$16,0),MATCH(Assumptions!J9,Housing!$I$11:$M$11,0))</f>
        <v>900</v>
      </c>
      <c r="K27" s="98">
        <f>INDEX(Housing!$I$11:$M$16,MATCH(Assumptions!$C$26,Housing!$I$11:$I$16,0),MATCH(Assumptions!K9,Housing!$I$11:$M$11,0))</f>
        <v>900</v>
      </c>
      <c r="L27" s="102">
        <f>INDEX(Housing!$I$11:$M$16,MATCH(Assumptions!$C$26,Housing!$I$11:$I$16,0),MATCH(Assumptions!L9,Housing!$I$11:$M$11,0))</f>
        <v>900</v>
      </c>
      <c r="M27" s="99">
        <f>INDEX(Housing!$I$11:$M$16,MATCH(Assumptions!$C$26,Housing!$I$11:$I$16,0),MATCH(Assumptions!M9,Housing!$I$11:$M$11,0))</f>
        <v>900</v>
      </c>
      <c r="N27" s="98">
        <f>INDEX(Housing!$I$11:$M$16,MATCH(Assumptions!$C$26,Housing!$I$11:$I$16,0),MATCH(Assumptions!N9,Housing!$I$11:$M$11,0))</f>
        <v>900</v>
      </c>
      <c r="O27" s="102">
        <f>INDEX(Housing!$I$11:$M$16,MATCH(Assumptions!$C$26,Housing!$I$11:$I$16,0),MATCH(Assumptions!O9,Housing!$I$11:$M$11,0))</f>
        <v>900</v>
      </c>
      <c r="R27" s="271" t="s">
        <v>112</v>
      </c>
      <c r="S27" s="239">
        <v>0.83</v>
      </c>
      <c r="T27" s="239">
        <v>0.83</v>
      </c>
      <c r="U27" s="239">
        <v>0.83</v>
      </c>
      <c r="V27" s="272">
        <f>AVERAGE(S27:U27)</f>
        <v>0.83</v>
      </c>
      <c r="AA27" s="1" t="s">
        <v>95</v>
      </c>
      <c r="AB27" s="85">
        <f>S11/S44</f>
        <v>0.24126057351547603</v>
      </c>
      <c r="AC27" s="85">
        <f>T11/T44</f>
        <v>0.28061805850822918</v>
      </c>
      <c r="AD27" s="85">
        <f>U11/U44</f>
        <v>0.48316200119865393</v>
      </c>
    </row>
    <row r="28" spans="3:34">
      <c r="C28" s="6" t="s">
        <v>116</v>
      </c>
      <c r="D28" s="10"/>
      <c r="E28" s="10"/>
      <c r="F28" s="2"/>
      <c r="G28" s="184">
        <f ca="1">+G29/G27</f>
        <v>3.3609845769791646</v>
      </c>
      <c r="H28" s="113">
        <f t="shared" ref="H28:O28" ca="1" si="7">+H29/H27</f>
        <v>2.100320537403471</v>
      </c>
      <c r="I28" s="113">
        <f t="shared" ca="1" si="7"/>
        <v>1.1130031565555556</v>
      </c>
      <c r="J28" s="184">
        <f t="shared" ca="1" si="7"/>
        <v>3.4625703358183593</v>
      </c>
      <c r="K28" s="113">
        <f t="shared" ca="1" si="7"/>
        <v>2.1638027256464905</v>
      </c>
      <c r="L28" s="113">
        <f t="shared" ca="1" si="7"/>
        <v>1.1466436769624468</v>
      </c>
      <c r="M28" s="184">
        <f t="shared" ca="1" si="7"/>
        <v>3.567226524218468</v>
      </c>
      <c r="N28" s="113">
        <f t="shared" ca="1" si="7"/>
        <v>2.2292036630291552</v>
      </c>
      <c r="O28" s="113">
        <f t="shared" ca="1" si="7"/>
        <v>1.1813009820986364</v>
      </c>
      <c r="R28" s="173" t="s">
        <v>123</v>
      </c>
      <c r="S28" s="269">
        <f>S26/S27</f>
        <v>216867.46987951809</v>
      </c>
      <c r="T28" s="269">
        <f t="shared" ref="T28:U28" si="8">T26/T27</f>
        <v>120481.92771084337</v>
      </c>
      <c r="U28" s="269">
        <f t="shared" si="8"/>
        <v>108433.73493975904</v>
      </c>
      <c r="V28" s="199">
        <f>SUM(S28:U28)</f>
        <v>445783.13253012055</v>
      </c>
      <c r="AA28" s="1" t="s">
        <v>118</v>
      </c>
      <c r="AB28" s="85">
        <f>(S18-(I31/S17))/S44</f>
        <v>0.13896609034491419</v>
      </c>
      <c r="AC28" s="85">
        <f>T18/T44</f>
        <v>0.11516565121177724</v>
      </c>
      <c r="AD28" s="85">
        <f>U18/U44</f>
        <v>0.19852160305250294</v>
      </c>
    </row>
    <row r="29" spans="3:34">
      <c r="C29" s="6" t="s">
        <v>117</v>
      </c>
      <c r="D29" s="10"/>
      <c r="E29" s="10"/>
      <c r="F29" s="9"/>
      <c r="G29" s="115">
        <f ca="1">AH21*(1+$V$58)^(YEAR($F$4)-YEAR(TODAY()))</f>
        <v>3024.8861192812483</v>
      </c>
      <c r="H29" s="227">
        <f ca="1">AH15*(1+$V$58)^(YEAR($F$4)-YEAR(TODAY()))</f>
        <v>1890.288483663124</v>
      </c>
      <c r="I29" s="228">
        <f ca="1">AH10*(1+$V$50)^(YEAR($F$4)-YEAR(TODAY()))</f>
        <v>1001.7028409</v>
      </c>
      <c r="J29" s="115">
        <f ca="1">G29*(1+$W$58)^(YEAR($F$5)-YEAR($F$4))</f>
        <v>3116.3133022365232</v>
      </c>
      <c r="K29" s="227">
        <f ca="1">H29*(1+$W$58)^(YEAR($F$5)-YEAR($F$4))</f>
        <v>1947.4224530818415</v>
      </c>
      <c r="L29" s="227">
        <f ca="1">I29*(1+$W$58)^(YEAR($F$5)-YEAR($F$4))</f>
        <v>1031.9793092662021</v>
      </c>
      <c r="M29" s="115">
        <f ca="1">J29*(1+$X$58)^(YEAR($F$6)-YEAR($F$5))</f>
        <v>3210.5038717966213</v>
      </c>
      <c r="N29" s="227">
        <f ca="1">K29*(1+$X$58)^(YEAR($F$6)-YEAR($F$5))</f>
        <v>2006.2832967262395</v>
      </c>
      <c r="O29" s="227">
        <f ca="1">L29*(1+$X$58)^(YEAR($F$6)-YEAR($F$5))</f>
        <v>1063.1708838887728</v>
      </c>
      <c r="R29" s="173"/>
      <c r="S29" s="23"/>
      <c r="T29" s="23"/>
      <c r="U29" s="23"/>
      <c r="V29" s="199"/>
      <c r="AA29" s="1" t="s">
        <v>126</v>
      </c>
      <c r="AB29" s="85">
        <f>(I31/S17)/S44</f>
        <v>2.4220669341161516E-2</v>
      </c>
      <c r="AC29" s="85">
        <f>(L31/T17)/T44</f>
        <v>0</v>
      </c>
      <c r="AD29" s="85">
        <f>(O31/U17)/U44</f>
        <v>0</v>
      </c>
    </row>
    <row r="30" spans="3:34">
      <c r="C30" s="11" t="s">
        <v>127</v>
      </c>
      <c r="D30" s="12"/>
      <c r="E30" s="12"/>
      <c r="F30" s="13">
        <f ca="1">+SUM(G30:O30)</f>
        <v>11818843.582145913</v>
      </c>
      <c r="G30" s="97">
        <f ca="1">(+G10*G11*G12+G16*G15*G14+G18*G19*G20+G22*G23*G24+G26*G27*G28)*12</f>
        <v>2551755.7211378384</v>
      </c>
      <c r="H30" s="97">
        <f t="shared" ref="H30:O30" ca="1" si="9">(+H10*H11*H12+H16*H15*H14+H18*H19*H20+H22*H23*H24+H26*H27*H28)*12</f>
        <v>797296.29922949953</v>
      </c>
      <c r="I30" s="97">
        <f t="shared" ca="1" si="9"/>
        <v>387895.3562784</v>
      </c>
      <c r="J30" s="97">
        <f t="shared" ca="1" si="9"/>
        <v>3746157.6163781518</v>
      </c>
      <c r="K30" s="97">
        <f t="shared" ca="1" si="9"/>
        <v>1170487.2763200379</v>
      </c>
      <c r="L30" s="97">
        <f ca="1">(+L10*L11*L12+L16*L15*L14+L18*L19*L20+L22*L23*L24+L26*L27*L28)*12</f>
        <v>0</v>
      </c>
      <c r="M30" s="97">
        <f t="shared" ca="1" si="9"/>
        <v>2403652.2048566304</v>
      </c>
      <c r="N30" s="97">
        <f t="shared" ca="1" si="9"/>
        <v>761599.10794535431</v>
      </c>
      <c r="O30" s="97">
        <f t="shared" ca="1" si="9"/>
        <v>0</v>
      </c>
      <c r="R30" s="206" t="s">
        <v>18</v>
      </c>
      <c r="S30" s="55" t="s">
        <v>91</v>
      </c>
      <c r="T30" s="55" t="s">
        <v>93</v>
      </c>
      <c r="U30" s="55" t="s">
        <v>94</v>
      </c>
      <c r="V30" s="48" t="s">
        <v>54</v>
      </c>
      <c r="AA30" s="1" t="s">
        <v>128</v>
      </c>
      <c r="AB30" s="85">
        <f>G75/S27/S44</f>
        <v>0.2325403118221456</v>
      </c>
      <c r="AC30" s="85">
        <f>T28/T44</f>
        <v>9.0158412372121813E-2</v>
      </c>
      <c r="AD30" s="85">
        <f>I75/U27/U44</f>
        <v>0.14902346061066918</v>
      </c>
    </row>
    <row r="31" spans="3:34">
      <c r="C31" s="14" t="s">
        <v>129</v>
      </c>
      <c r="D31" s="15"/>
      <c r="E31" s="15"/>
      <c r="F31" s="16">
        <f>+SUM(G31:O31)</f>
        <v>320470</v>
      </c>
      <c r="G31" s="28">
        <f>+G10*G11+G14*G15+G18*G19+G22*G23+G26*G27</f>
        <v>61200</v>
      </c>
      <c r="H31" s="28">
        <f t="shared" ref="H31:O31" si="10">+H10*H11+H14*H15+H18*H19+H22*H23+H26*H27</f>
        <v>30600</v>
      </c>
      <c r="I31" s="28">
        <f t="shared" si="10"/>
        <v>16000</v>
      </c>
      <c r="J31" s="28">
        <f t="shared" si="10"/>
        <v>87210</v>
      </c>
      <c r="K31" s="28">
        <f t="shared" si="10"/>
        <v>43605</v>
      </c>
      <c r="L31" s="28">
        <f t="shared" si="10"/>
        <v>0</v>
      </c>
      <c r="M31" s="28">
        <f t="shared" si="10"/>
        <v>54315</v>
      </c>
      <c r="N31" s="28">
        <f t="shared" si="10"/>
        <v>27540</v>
      </c>
      <c r="O31" s="28">
        <f t="shared" si="10"/>
        <v>0</v>
      </c>
      <c r="R31" s="271" t="s">
        <v>125</v>
      </c>
      <c r="S31" s="91">
        <f>G97</f>
        <v>40000</v>
      </c>
      <c r="T31" s="91">
        <f t="shared" ref="T31:U31" si="11">H97</f>
        <v>80000</v>
      </c>
      <c r="U31" s="91">
        <f t="shared" si="11"/>
        <v>40000</v>
      </c>
      <c r="V31" s="199">
        <f>SUM(S31:U31)</f>
        <v>160000</v>
      </c>
      <c r="AA31" s="1" t="s">
        <v>130</v>
      </c>
      <c r="AB31" s="85">
        <f>G79/S27/S44</f>
        <v>2.3254031182214557E-2</v>
      </c>
      <c r="AC31" s="85">
        <f>H79/T27/T44</f>
        <v>0</v>
      </c>
      <c r="AD31" s="85">
        <f>I79/U27/U44</f>
        <v>0</v>
      </c>
    </row>
    <row r="32" spans="3:34">
      <c r="C32" s="6" t="s">
        <v>131</v>
      </c>
      <c r="D32" s="10"/>
      <c r="E32" s="10"/>
      <c r="F32" s="5">
        <f>+SUM(G32:O32)</f>
        <v>478</v>
      </c>
      <c r="G32" s="28">
        <f>+G14+G18+G22+G26+G10</f>
        <v>80</v>
      </c>
      <c r="H32" s="28">
        <f t="shared" ref="H32:O32" si="12">+H14+H18+H22+H26+H10</f>
        <v>40</v>
      </c>
      <c r="I32" s="28">
        <f t="shared" si="12"/>
        <v>80</v>
      </c>
      <c r="J32" s="28">
        <f t="shared" si="12"/>
        <v>114.00000000000001</v>
      </c>
      <c r="K32" s="28">
        <f t="shared" si="12"/>
        <v>57.000000000000007</v>
      </c>
      <c r="L32" s="28">
        <f t="shared" si="12"/>
        <v>0</v>
      </c>
      <c r="M32" s="28">
        <f t="shared" si="12"/>
        <v>71</v>
      </c>
      <c r="N32" s="28">
        <f t="shared" si="12"/>
        <v>36</v>
      </c>
      <c r="O32" s="28">
        <f t="shared" si="12"/>
        <v>0</v>
      </c>
      <c r="R32" s="271" t="s">
        <v>112</v>
      </c>
      <c r="S32" s="53">
        <v>0.87</v>
      </c>
      <c r="T32" s="53">
        <v>0.87</v>
      </c>
      <c r="U32" s="53">
        <v>0.87</v>
      </c>
      <c r="V32" s="45">
        <f>AVERAGE(S32:U32)</f>
        <v>0.87</v>
      </c>
      <c r="AA32" s="1" t="s">
        <v>132</v>
      </c>
      <c r="AB32" s="85">
        <f>G83/S27/S44</f>
        <v>2.3254031182214557E-2</v>
      </c>
      <c r="AC32" s="85">
        <f>H83/T27/T44</f>
        <v>0</v>
      </c>
      <c r="AD32" s="85">
        <f>I83/U27/U44</f>
        <v>7.4511730305334589E-2</v>
      </c>
    </row>
    <row r="33" spans="3:31">
      <c r="C33" s="6" t="s">
        <v>133</v>
      </c>
      <c r="D33" s="10"/>
      <c r="E33" s="10"/>
      <c r="F33" s="17">
        <f ca="1">+IFERROR(F30/F31/12,"")</f>
        <v>3.0733099255639922</v>
      </c>
      <c r="G33" s="8">
        <f ca="1">+IFERROR(G30/G31/12,"")</f>
        <v>3.4746129100460763</v>
      </c>
      <c r="H33" s="8">
        <f ca="1">+IFERROR(H30/H31/12,"")</f>
        <v>2.1712862179452599</v>
      </c>
      <c r="I33" s="8">
        <f ca="1">+IFERROR(I30/I31/12,"")</f>
        <v>2.0202883139500001</v>
      </c>
      <c r="J33" s="8">
        <f ca="1">+IFERROR(J30/J31/12,"")</f>
        <v>3.5796330852522185</v>
      </c>
      <c r="K33" s="8">
        <f ca="1">+IFERROR(K30/K31/12,"")</f>
        <v>2.2369133438826547</v>
      </c>
      <c r="L33" s="8" t="str">
        <f ca="1">+IFERROR(L30/L31/12,"")</f>
        <v/>
      </c>
      <c r="M33" s="8">
        <f ca="1">+IFERROR(M30/M31/12,"")</f>
        <v>3.6878274952539667</v>
      </c>
      <c r="N33" s="8">
        <f ca="1">+IFERROR(N30/N31/12,"")</f>
        <v>2.304524049701508</v>
      </c>
      <c r="O33" s="8" t="str">
        <f ca="1">+IFERROR(O30/O31/12,"")</f>
        <v/>
      </c>
      <c r="R33" s="173" t="s">
        <v>123</v>
      </c>
      <c r="S33" s="269">
        <f>S31/S32</f>
        <v>45977.011494252874</v>
      </c>
      <c r="T33" s="269">
        <f t="shared" ref="T33:U33" si="13">T31/T32</f>
        <v>91954.022988505749</v>
      </c>
      <c r="U33" s="269">
        <f t="shared" si="13"/>
        <v>45977.011494252874</v>
      </c>
      <c r="V33" s="329">
        <f>SUM(S33:U33)</f>
        <v>183908.0459770115</v>
      </c>
      <c r="AA33" s="1" t="s">
        <v>18</v>
      </c>
      <c r="AB33" s="85">
        <f>S33/S44</f>
        <v>5.9159680862032438E-2</v>
      </c>
      <c r="AC33" s="85">
        <f>T33/T44</f>
        <v>6.8810558408148148E-2</v>
      </c>
      <c r="AD33" s="85">
        <f>U33/U44</f>
        <v>9.4781204832839389E-2</v>
      </c>
    </row>
    <row r="34" spans="3:31">
      <c r="C34" s="18" t="s">
        <v>134</v>
      </c>
      <c r="D34" s="19"/>
      <c r="E34" s="19"/>
      <c r="F34" s="20">
        <f ca="1">+IFERROR(F30/F32/12,"")</f>
        <v>2060.4678490491478</v>
      </c>
      <c r="G34" s="21">
        <f ca="1">+IFERROR(G30/G32/12,"")</f>
        <v>2658.0788761852486</v>
      </c>
      <c r="H34" s="21">
        <f t="shared" ref="H34:O34" ca="1" si="14">+IFERROR(H30/H32/12,"")</f>
        <v>1661.0339567281242</v>
      </c>
      <c r="I34" s="21">
        <f t="shared" ca="1" si="14"/>
        <v>404.05766278999999</v>
      </c>
      <c r="J34" s="21">
        <f t="shared" ca="1" si="14"/>
        <v>2738.419310217947</v>
      </c>
      <c r="K34" s="21">
        <f t="shared" ca="1" si="14"/>
        <v>1711.2387080702308</v>
      </c>
      <c r="L34" s="21" t="str">
        <f t="shared" ca="1" si="14"/>
        <v/>
      </c>
      <c r="M34" s="21">
        <f t="shared" ca="1" si="14"/>
        <v>2821.1880338692845</v>
      </c>
      <c r="N34" s="21">
        <f t="shared" ca="1" si="14"/>
        <v>1762.9608980216535</v>
      </c>
      <c r="O34" s="21" t="str">
        <f t="shared" ca="1" si="14"/>
        <v/>
      </c>
      <c r="R34" s="173"/>
      <c r="S34" s="23"/>
      <c r="T34" s="23"/>
      <c r="U34" s="23"/>
      <c r="V34" s="199"/>
      <c r="AA34" s="1" t="s">
        <v>135</v>
      </c>
      <c r="AB34" s="85">
        <f>S36/S44</f>
        <v>0.25734461174984108</v>
      </c>
      <c r="AC34" s="85">
        <f>T36/T44</f>
        <v>0.22449444680658331</v>
      </c>
      <c r="AD34" s="85">
        <f>U36/U44</f>
        <v>0</v>
      </c>
    </row>
    <row r="35" spans="3:31">
      <c r="C35" s="6"/>
      <c r="D35" s="10"/>
      <c r="E35" s="10"/>
      <c r="F35" s="194"/>
      <c r="G35" s="100"/>
      <c r="H35" s="100"/>
      <c r="I35" s="100"/>
      <c r="J35" s="100"/>
      <c r="K35" s="100"/>
      <c r="L35" s="100"/>
      <c r="M35" s="100"/>
      <c r="N35" s="100"/>
      <c r="O35" s="100"/>
      <c r="R35" s="206" t="s">
        <v>135</v>
      </c>
      <c r="S35" s="55" t="s">
        <v>91</v>
      </c>
      <c r="T35" s="55" t="s">
        <v>93</v>
      </c>
      <c r="U35" s="55" t="s">
        <v>94</v>
      </c>
      <c r="V35" s="48" t="s">
        <v>54</v>
      </c>
      <c r="AA35" s="1" t="s">
        <v>136</v>
      </c>
      <c r="AB35" s="85">
        <f>S40/S44</f>
        <v>0</v>
      </c>
      <c r="AC35" s="85">
        <f>T40/T44</f>
        <v>7.1089908155418047E-2</v>
      </c>
      <c r="AD35" s="85">
        <f t="shared" ref="AC35:AD35" si="15">U40/U44</f>
        <v>0</v>
      </c>
    </row>
    <row r="36" spans="3:31" ht="17.100000000000001" thickBot="1">
      <c r="C36" s="197" t="s">
        <v>137</v>
      </c>
      <c r="D36" s="3"/>
      <c r="E36" s="3"/>
      <c r="F36" s="3"/>
      <c r="G36" s="3" t="s">
        <v>91</v>
      </c>
      <c r="H36" s="3" t="s">
        <v>93</v>
      </c>
      <c r="I36" s="3" t="s">
        <v>94</v>
      </c>
      <c r="J36" s="100"/>
      <c r="K36" s="22" t="s">
        <v>138</v>
      </c>
      <c r="L36" s="22"/>
      <c r="M36" s="3" t="s">
        <v>91</v>
      </c>
      <c r="N36" s="3" t="s">
        <v>93</v>
      </c>
      <c r="O36" s="3" t="s">
        <v>94</v>
      </c>
      <c r="R36" s="173" t="s">
        <v>123</v>
      </c>
      <c r="S36" s="91">
        <f>G115</f>
        <v>200000</v>
      </c>
      <c r="T36" s="91">
        <f>H115</f>
        <v>300000</v>
      </c>
      <c r="U36" s="91">
        <v>0</v>
      </c>
      <c r="V36" s="199">
        <f>SUM(S36:U36)</f>
        <v>500000</v>
      </c>
      <c r="AA36" s="1" t="s">
        <v>52</v>
      </c>
      <c r="AB36" s="85">
        <f>S43/S44</f>
        <v>0</v>
      </c>
      <c r="AC36" s="85">
        <f>T43/T44</f>
        <v>0.14966296453772221</v>
      </c>
      <c r="AD36" s="85">
        <f t="shared" ref="AC36:AD36" si="16">U43/U44</f>
        <v>0</v>
      </c>
    </row>
    <row r="37" spans="3:31">
      <c r="C37" s="11" t="s">
        <v>127</v>
      </c>
      <c r="D37" s="229"/>
      <c r="E37" s="229"/>
      <c r="F37" s="230">
        <f ca="1">SUM(G37:I37)</f>
        <v>11818843.582145913</v>
      </c>
      <c r="G37" s="231">
        <f ca="1">SUM(G30:I30)</f>
        <v>3736947.3766457378</v>
      </c>
      <c r="H37" s="231">
        <f ca="1">SUM(J30:L30)</f>
        <v>4916644.8926981892</v>
      </c>
      <c r="I37" s="231">
        <f ca="1">SUM(M30:O30)</f>
        <v>3165251.3128019846</v>
      </c>
      <c r="J37" s="100"/>
      <c r="K37" s="4" t="s">
        <v>131</v>
      </c>
      <c r="L37" s="100"/>
      <c r="M37" s="166">
        <f>G39</f>
        <v>200</v>
      </c>
      <c r="N37" s="166">
        <f t="shared" ref="N37:O37" si="17">H39</f>
        <v>171.00000000000003</v>
      </c>
      <c r="O37" s="166">
        <f t="shared" si="17"/>
        <v>107</v>
      </c>
      <c r="R37" s="173" t="s">
        <v>139</v>
      </c>
      <c r="S37" s="54">
        <f>G116</f>
        <v>500</v>
      </c>
      <c r="T37" s="54">
        <f>H116</f>
        <v>750</v>
      </c>
      <c r="U37" s="54">
        <f t="shared" ref="U37" si="18">U36/450</f>
        <v>0</v>
      </c>
      <c r="V37" s="199">
        <f>SUM(S37:U37)</f>
        <v>1250</v>
      </c>
    </row>
    <row r="38" spans="3:31">
      <c r="C38" s="14" t="s">
        <v>129</v>
      </c>
      <c r="D38" s="10"/>
      <c r="E38" s="10"/>
      <c r="F38" s="5">
        <f>+SUM(G38:O38)</f>
        <v>320560</v>
      </c>
      <c r="G38" s="195">
        <f>SUM(G31:I31)</f>
        <v>107800</v>
      </c>
      <c r="H38" s="195">
        <f>SUM(J31:L31)</f>
        <v>130815</v>
      </c>
      <c r="I38" s="195">
        <f>SUM(M31:O31)</f>
        <v>81855</v>
      </c>
      <c r="J38" s="100"/>
      <c r="K38" s="4" t="s">
        <v>140</v>
      </c>
      <c r="L38" s="100"/>
      <c r="M38" s="166">
        <f>Housing!C14</f>
        <v>30</v>
      </c>
      <c r="N38" s="166">
        <f>Housing!D14</f>
        <v>30</v>
      </c>
      <c r="O38" s="166">
        <f>Housing!E14</f>
        <v>30</v>
      </c>
      <c r="R38" s="173"/>
      <c r="S38" s="54"/>
      <c r="T38" s="54"/>
      <c r="U38" s="54"/>
      <c r="V38" s="270"/>
      <c r="AB38" s="55" t="s">
        <v>91</v>
      </c>
      <c r="AC38" s="55" t="s">
        <v>93</v>
      </c>
      <c r="AD38" s="55" t="s">
        <v>94</v>
      </c>
      <c r="AE38" s="55" t="s">
        <v>54</v>
      </c>
    </row>
    <row r="39" spans="3:31">
      <c r="C39" s="6" t="s">
        <v>131</v>
      </c>
      <c r="D39" s="10"/>
      <c r="E39" s="10"/>
      <c r="F39" s="5">
        <f>+SUM(G39:O39)</f>
        <v>141831</v>
      </c>
      <c r="G39" s="195">
        <f>SUM(G32:I32)</f>
        <v>200</v>
      </c>
      <c r="H39" s="195">
        <f>SUM(J32:L32)</f>
        <v>171.00000000000003</v>
      </c>
      <c r="I39" s="195">
        <f>SUM(M32:O32)</f>
        <v>107</v>
      </c>
      <c r="J39" s="100"/>
      <c r="K39" s="106" t="s">
        <v>141</v>
      </c>
      <c r="L39" s="236"/>
      <c r="M39" s="237">
        <f>Housing!C15</f>
        <v>46387</v>
      </c>
      <c r="N39" s="237">
        <f>Housing!D15</f>
        <v>47118</v>
      </c>
      <c r="O39" s="237">
        <f>Housing!E15</f>
        <v>47848</v>
      </c>
      <c r="R39" s="206" t="s">
        <v>136</v>
      </c>
      <c r="S39" s="55" t="s">
        <v>91</v>
      </c>
      <c r="T39" s="55" t="s">
        <v>93</v>
      </c>
      <c r="U39" s="55" t="s">
        <v>94</v>
      </c>
      <c r="V39" s="48" t="s">
        <v>54</v>
      </c>
      <c r="AA39" s="1" t="s">
        <v>95</v>
      </c>
      <c r="AB39" s="91">
        <f>$S$44*AB27</f>
        <v>187500</v>
      </c>
      <c r="AC39" s="91">
        <f>AC27*$T$44</f>
        <v>375000.00000000006</v>
      </c>
      <c r="AD39" s="91">
        <f>$U$44*AD27</f>
        <v>234375</v>
      </c>
      <c r="AE39" s="91">
        <f>SUM(AB39:AD39)</f>
        <v>796875</v>
      </c>
    </row>
    <row r="40" spans="3:31">
      <c r="C40" s="6" t="s">
        <v>133</v>
      </c>
      <c r="D40" s="10"/>
      <c r="E40" s="10"/>
      <c r="F40" s="17">
        <f ca="1">+IFERROR(F37/F38/12,"")</f>
        <v>3.0724470671496529</v>
      </c>
      <c r="G40" s="196">
        <f ca="1">+IFERROR(G37/G38/12,"")</f>
        <v>2.8887966733501376</v>
      </c>
      <c r="H40" s="196">
        <f t="shared" ref="H40:I40" ca="1" si="19">+IFERROR(H37/H38/12,"")</f>
        <v>3.1320598381290305</v>
      </c>
      <c r="I40" s="196">
        <f t="shared" ca="1" si="19"/>
        <v>3.2224169902082793</v>
      </c>
      <c r="J40" s="100"/>
      <c r="K40" s="4" t="s">
        <v>142</v>
      </c>
      <c r="L40" s="100"/>
      <c r="M40" s="307">
        <f>Housing!C16</f>
        <v>6.666666666666667</v>
      </c>
      <c r="N40" s="307">
        <f>Housing!D16</f>
        <v>5.7</v>
      </c>
      <c r="O40" s="307">
        <f>Housing!E16</f>
        <v>3.5666666666666669</v>
      </c>
      <c r="R40" s="173" t="s">
        <v>123</v>
      </c>
      <c r="S40" s="54">
        <f>'Public and Infrastructure'!H7</f>
        <v>0</v>
      </c>
      <c r="T40" s="91">
        <f>'Public and Infrastructure'!N7</f>
        <v>95000</v>
      </c>
      <c r="U40" s="54">
        <f>'Public and Infrastructure'!T7</f>
        <v>0</v>
      </c>
      <c r="V40" s="270">
        <f>SUM(S40:U40)</f>
        <v>95000</v>
      </c>
      <c r="AA40" s="1" t="s">
        <v>118</v>
      </c>
      <c r="AB40" s="91">
        <f>$S$44*AB28</f>
        <v>108000</v>
      </c>
      <c r="AC40" s="91">
        <f>AC28*$T$44</f>
        <v>153900</v>
      </c>
      <c r="AD40" s="91">
        <f>$U$44*AD28</f>
        <v>96300</v>
      </c>
      <c r="AE40" s="91">
        <f>SUM(AB40:AD40)</f>
        <v>358200</v>
      </c>
    </row>
    <row r="41" spans="3:31">
      <c r="C41" s="18" t="s">
        <v>134</v>
      </c>
      <c r="D41" s="19"/>
      <c r="E41" s="19"/>
      <c r="F41" s="20">
        <f ca="1">+IFERROR(F37/F39/12,"")</f>
        <v>6.9442056521176099</v>
      </c>
      <c r="G41" s="21">
        <f ca="1">+IFERROR(G37/G39/12,"")</f>
        <v>1557.0614069357241</v>
      </c>
      <c r="H41" s="21">
        <f t="shared" ref="H41:I41" ca="1" si="20">+IFERROR(H37/H39/12,"")</f>
        <v>2396.0257761687076</v>
      </c>
      <c r="I41" s="21">
        <f t="shared" ca="1" si="20"/>
        <v>2465.1489975093341</v>
      </c>
      <c r="J41" s="100"/>
      <c r="K41" s="233" t="s">
        <v>89</v>
      </c>
      <c r="L41" s="21"/>
      <c r="M41" s="238">
        <f>Housing!C17</f>
        <v>46568</v>
      </c>
      <c r="N41" s="238">
        <f>Housing!D17</f>
        <v>47269</v>
      </c>
      <c r="O41" s="238">
        <f>Housing!E17</f>
        <v>47938</v>
      </c>
      <c r="R41" s="173"/>
      <c r="S41" s="54"/>
      <c r="T41" s="54"/>
      <c r="U41" s="54"/>
      <c r="V41" s="270"/>
      <c r="AA41" s="1" t="s">
        <v>126</v>
      </c>
      <c r="AB41" s="91">
        <f>$S$44*AB29</f>
        <v>18823.529411764706</v>
      </c>
      <c r="AC41" s="91">
        <f>AC29*$T$44</f>
        <v>0</v>
      </c>
      <c r="AD41" s="91">
        <f>$U$44*AD29</f>
        <v>0</v>
      </c>
      <c r="AE41" s="91">
        <f>SUM(AB41:AD41)</f>
        <v>18823.529411764706</v>
      </c>
    </row>
    <row r="42" spans="3:31">
      <c r="C42" s="6"/>
      <c r="D42" s="10"/>
      <c r="E42" s="10"/>
      <c r="F42" s="194"/>
      <c r="G42" s="100"/>
      <c r="H42" s="100"/>
      <c r="I42" s="100"/>
      <c r="J42" s="100"/>
      <c r="K42" s="100"/>
      <c r="L42" s="100"/>
      <c r="M42" s="100"/>
      <c r="N42" s="100"/>
      <c r="O42" s="100"/>
      <c r="R42" s="206" t="s">
        <v>52</v>
      </c>
      <c r="S42" s="54"/>
      <c r="T42" s="54"/>
      <c r="U42" s="54"/>
      <c r="V42" s="270"/>
      <c r="AA42" s="1" t="s">
        <v>128</v>
      </c>
      <c r="AB42" s="91">
        <f>$S$44*AB30</f>
        <v>180722.89156626508</v>
      </c>
      <c r="AC42" s="91">
        <f>AC30*$T$44</f>
        <v>120481.92771084336</v>
      </c>
      <c r="AD42" s="91">
        <f>$U$44*AD30</f>
        <v>72289.156626506025</v>
      </c>
      <c r="AE42" s="91">
        <f>SUM(AB42:AD42)</f>
        <v>373493.97590361442</v>
      </c>
    </row>
    <row r="43" spans="3:31" ht="17.100000000000001" thickBot="1">
      <c r="C43" s="6"/>
      <c r="D43" s="10"/>
      <c r="E43" s="10"/>
      <c r="F43" s="194"/>
      <c r="G43" s="100"/>
      <c r="H43" s="100"/>
      <c r="I43" s="100"/>
      <c r="J43" s="100"/>
      <c r="K43" s="100"/>
      <c r="L43" s="100"/>
      <c r="M43" s="100"/>
      <c r="N43" s="100"/>
      <c r="O43" s="100"/>
      <c r="R43" s="175" t="s">
        <v>123</v>
      </c>
      <c r="S43" s="201">
        <f>'Public and Infrastructure'!N19</f>
        <v>0</v>
      </c>
      <c r="T43" s="273">
        <f>'Public and Infrastructure'!O19</f>
        <v>200000</v>
      </c>
      <c r="U43" s="201">
        <f>'Public and Infrastructure'!P19</f>
        <v>0</v>
      </c>
      <c r="V43" s="274">
        <f>SUM(S43:U43)</f>
        <v>200000</v>
      </c>
      <c r="AA43" s="1" t="s">
        <v>130</v>
      </c>
      <c r="AB43" s="91">
        <f>$S$44*AB31</f>
        <v>18072.289156626506</v>
      </c>
      <c r="AC43" s="91">
        <f>AC31*$T$44</f>
        <v>0</v>
      </c>
      <c r="AD43" s="91">
        <f>$U$44*AD31</f>
        <v>0</v>
      </c>
      <c r="AE43" s="91">
        <f>SUM(AB43:AD43)</f>
        <v>18072.289156626506</v>
      </c>
    </row>
    <row r="44" spans="3:31" ht="17.100000000000001" thickBot="1">
      <c r="C44" s="6"/>
      <c r="D44" s="10"/>
      <c r="E44" s="10"/>
      <c r="F44" s="194"/>
      <c r="G44" s="100"/>
      <c r="H44" s="100"/>
      <c r="I44" s="100"/>
      <c r="J44" s="100"/>
      <c r="K44" s="100"/>
      <c r="L44" s="100"/>
      <c r="M44" s="100"/>
      <c r="N44" s="100"/>
      <c r="O44" s="100"/>
      <c r="R44" s="175" t="s">
        <v>143</v>
      </c>
      <c r="S44" s="273">
        <f>S36+S33+S28+S18+S11+S43</f>
        <v>777168.01078553568</v>
      </c>
      <c r="T44" s="273">
        <f>T36+T33+T28+T18+T11+T43+T40</f>
        <v>1336335.9506993492</v>
      </c>
      <c r="U44" s="273">
        <f>U36+U33+U28+U18+U11+U43</f>
        <v>485085.7464340119</v>
      </c>
      <c r="V44" s="274">
        <f>SUM(S44:U44)</f>
        <v>2598589.7079188968</v>
      </c>
      <c r="AA44" s="1" t="s">
        <v>132</v>
      </c>
      <c r="AB44" s="91">
        <f>$S$44*AB32</f>
        <v>18072.289156626506</v>
      </c>
      <c r="AC44" s="91">
        <f>AC32*$T$44</f>
        <v>0</v>
      </c>
      <c r="AD44" s="91">
        <f>$U$44*AD32</f>
        <v>36144.578313253012</v>
      </c>
      <c r="AE44" s="91">
        <f>SUM(AB44:AD44)</f>
        <v>54216.867469879522</v>
      </c>
    </row>
    <row r="45" spans="3:31">
      <c r="C45" s="6"/>
      <c r="D45" s="10"/>
      <c r="E45" s="10"/>
      <c r="F45" s="194"/>
      <c r="G45" s="100"/>
      <c r="H45" s="100"/>
      <c r="I45" s="100"/>
      <c r="J45" s="100"/>
      <c r="K45" s="100"/>
      <c r="L45" s="100"/>
      <c r="M45" s="100"/>
      <c r="N45" s="100"/>
      <c r="O45" s="100"/>
      <c r="S45" s="198"/>
      <c r="AA45" s="1" t="s">
        <v>18</v>
      </c>
      <c r="AB45" s="91">
        <f>$S$44*AB33</f>
        <v>45977.011494252874</v>
      </c>
      <c r="AC45" s="91">
        <f>AC33*$T$44</f>
        <v>91954.022988505749</v>
      </c>
      <c r="AD45" s="91">
        <f>$U$44*AD33</f>
        <v>45977.011494252874</v>
      </c>
      <c r="AE45" s="91">
        <f>SUM(AB45:AD45)</f>
        <v>183908.0459770115</v>
      </c>
    </row>
    <row r="46" spans="3:31">
      <c r="AA46" s="1" t="s">
        <v>135</v>
      </c>
      <c r="AB46" s="91">
        <f>$S$44*AB34</f>
        <v>199999.99999999997</v>
      </c>
      <c r="AC46" s="91">
        <f>AC34*$T$44</f>
        <v>300000</v>
      </c>
      <c r="AD46" s="91">
        <f>$U$44*AD34</f>
        <v>0</v>
      </c>
      <c r="AE46" s="91">
        <f>SUM(AB46:AD46)</f>
        <v>500000</v>
      </c>
    </row>
    <row r="47" spans="3:31" ht="17.100000000000001" thickBot="1">
      <c r="C47" s="22" t="s">
        <v>144</v>
      </c>
      <c r="D47" s="22"/>
      <c r="E47" s="3"/>
      <c r="F47" s="3" t="s">
        <v>145</v>
      </c>
      <c r="G47" s="3" t="s">
        <v>91</v>
      </c>
      <c r="H47" s="3" t="s">
        <v>93</v>
      </c>
      <c r="I47" s="3" t="s">
        <v>94</v>
      </c>
      <c r="K47" s="22" t="s">
        <v>144</v>
      </c>
      <c r="L47" s="22"/>
      <c r="M47" s="3" t="s">
        <v>91</v>
      </c>
      <c r="N47" s="3" t="s">
        <v>93</v>
      </c>
      <c r="O47" s="3" t="s">
        <v>94</v>
      </c>
      <c r="AA47" s="1" t="s">
        <v>136</v>
      </c>
      <c r="AB47" s="91">
        <f>$S$44*AB35</f>
        <v>0</v>
      </c>
      <c r="AC47" s="91">
        <f>AC35*$T$44</f>
        <v>94999.999999999985</v>
      </c>
      <c r="AD47" s="91">
        <f>$U$44*AD35</f>
        <v>0</v>
      </c>
      <c r="AE47" s="91">
        <f t="shared" ref="AE47:AE48" si="21">SUM(AB47:AD47)</f>
        <v>94999.999999999985</v>
      </c>
    </row>
    <row r="48" spans="3:31" ht="17.100000000000001" thickBot="1">
      <c r="C48" s="4" t="s">
        <v>99</v>
      </c>
      <c r="D48" s="166" t="s">
        <v>96</v>
      </c>
      <c r="E48" s="2"/>
      <c r="F48" s="7"/>
      <c r="G48" s="109">
        <f>Housing!J31</f>
        <v>20</v>
      </c>
      <c r="H48" s="98">
        <f>Housing!J38</f>
        <v>40</v>
      </c>
      <c r="I48" s="98">
        <f>Housing!J45</f>
        <v>25</v>
      </c>
      <c r="K48" s="4" t="s">
        <v>131</v>
      </c>
      <c r="M48" s="235">
        <f>G66</f>
        <v>200</v>
      </c>
      <c r="N48" s="235">
        <f t="shared" ref="N48:O48" si="22">H66</f>
        <v>400</v>
      </c>
      <c r="O48" s="235">
        <f t="shared" si="22"/>
        <v>250</v>
      </c>
      <c r="R48" s="22" t="s">
        <v>146</v>
      </c>
      <c r="S48" s="22"/>
      <c r="T48" s="2"/>
      <c r="U48" s="3" t="s">
        <v>147</v>
      </c>
      <c r="V48" s="3" t="s">
        <v>91</v>
      </c>
      <c r="W48" s="3" t="s">
        <v>93</v>
      </c>
      <c r="X48" s="3" t="s">
        <v>94</v>
      </c>
      <c r="AA48" s="1" t="s">
        <v>52</v>
      </c>
      <c r="AB48" s="91">
        <f>$S$44*AB36</f>
        <v>0</v>
      </c>
      <c r="AC48" s="91">
        <f>AC36*$T$44</f>
        <v>200000</v>
      </c>
      <c r="AD48" s="91">
        <f>$U$44*AD36</f>
        <v>0</v>
      </c>
      <c r="AE48" s="91">
        <f t="shared" si="21"/>
        <v>200000</v>
      </c>
    </row>
    <row r="49" spans="3:31">
      <c r="C49" s="6" t="s">
        <v>148</v>
      </c>
      <c r="D49" s="2"/>
      <c r="E49" s="2"/>
      <c r="F49" s="98">
        <f>AVERAGE(G49:I49)</f>
        <v>500</v>
      </c>
      <c r="G49" s="99">
        <f>INDEX(Housing!$I$11:$M$16,MATCH(Assumptions!$C$48,Housing!$I$11:$I$16,0),MATCH("Market",Housing!$I$11:$M$11,0))</f>
        <v>500</v>
      </c>
      <c r="H49" s="98">
        <f>INDEX(Housing!$I$11:$M$16,MATCH(Assumptions!$C$48,Housing!$I$11:$I$16,0),MATCH("Market",Housing!$I$11:$M$11,0))</f>
        <v>500</v>
      </c>
      <c r="I49" s="98">
        <f>INDEX(Housing!$I$11:$M$16,MATCH(Assumptions!$C$48,Housing!$I$11:$I$16,0),MATCH("Market",Housing!$I$11:$M$11,0))</f>
        <v>500</v>
      </c>
      <c r="K49" s="4" t="s">
        <v>140</v>
      </c>
      <c r="M49" s="23">
        <f>Housing!C7</f>
        <v>25</v>
      </c>
      <c r="N49" s="23">
        <f>Housing!D7</f>
        <v>30</v>
      </c>
      <c r="O49" s="23">
        <f>Housing!E7</f>
        <v>25</v>
      </c>
      <c r="R49" s="29" t="s">
        <v>149</v>
      </c>
      <c r="S49" s="10"/>
      <c r="T49" s="10"/>
      <c r="U49" s="10"/>
      <c r="V49" s="10"/>
      <c r="W49" s="10"/>
      <c r="X49" s="10"/>
      <c r="AA49" s="1" t="s">
        <v>54</v>
      </c>
      <c r="AB49" s="91">
        <f>SUM(AB39:AB48)</f>
        <v>777168.01078553568</v>
      </c>
      <c r="AC49" s="91">
        <f>SUM(AC39:AC48)</f>
        <v>1336335.9506993492</v>
      </c>
      <c r="AD49" s="91">
        <f>SUM(AD39:AD48)</f>
        <v>485085.7464340119</v>
      </c>
      <c r="AE49" s="91">
        <f>SUM(AE39:AE48)</f>
        <v>2598589.7079188968</v>
      </c>
    </row>
    <row r="50" spans="3:31">
      <c r="C50" s="6" t="s">
        <v>116</v>
      </c>
      <c r="D50" s="2"/>
      <c r="E50" s="2"/>
      <c r="F50" s="112">
        <v>4.5</v>
      </c>
      <c r="G50" s="184">
        <f ca="1">F50*(1+$V$50)^(YEAR($F$4)-YEAR(TODAY()))</f>
        <v>5.0647896449999994</v>
      </c>
      <c r="H50" s="113">
        <f ca="1">G50*(1+$V$59)^(YEAR($F$5)-YEAR($F$4))</f>
        <v>5.3732353343804995</v>
      </c>
      <c r="I50" s="113">
        <f ca="1">H50*(1+$X$59)^(YEAR($F$6)-YEAR($F$5))</f>
        <v>5.7004653662442717</v>
      </c>
      <c r="K50" s="106" t="s">
        <v>141</v>
      </c>
      <c r="L50" s="226"/>
      <c r="M50" s="232">
        <f>Housing!C8</f>
        <v>46387</v>
      </c>
      <c r="N50" s="232">
        <f>Housing!D8</f>
        <v>47118</v>
      </c>
      <c r="O50" s="232">
        <f>Housing!E8</f>
        <v>47848</v>
      </c>
      <c r="R50" s="6" t="s">
        <v>150</v>
      </c>
      <c r="S50" s="2"/>
      <c r="T50" s="2"/>
      <c r="U50" s="161">
        <v>0.03</v>
      </c>
      <c r="V50" s="30">
        <f t="shared" ref="V50:V52" si="23">+$U50</f>
        <v>0.03</v>
      </c>
      <c r="W50" s="30">
        <f>+$U50</f>
        <v>0.03</v>
      </c>
      <c r="X50" s="30">
        <f>+$U50</f>
        <v>0.03</v>
      </c>
    </row>
    <row r="51" spans="3:31">
      <c r="C51" s="6" t="s">
        <v>117</v>
      </c>
      <c r="D51" s="2"/>
      <c r="E51" s="2"/>
      <c r="F51" s="111">
        <f ca="1">AVERAGE(G51:I51)</f>
        <v>2690.0242170179604</v>
      </c>
      <c r="G51" s="114">
        <f ca="1">G50*G49</f>
        <v>2532.3948224999999</v>
      </c>
      <c r="H51" s="111">
        <f ca="1">H50*H49</f>
        <v>2686.6176671902499</v>
      </c>
      <c r="I51" s="111">
        <f ca="1">+H51*(1+0.02)^3</f>
        <v>2851.0601613636304</v>
      </c>
      <c r="K51" s="4" t="s">
        <v>142</v>
      </c>
      <c r="M51" s="54">
        <f>Housing!C9</f>
        <v>8</v>
      </c>
      <c r="N51" s="54">
        <f>Housing!D9</f>
        <v>13.333333333333334</v>
      </c>
      <c r="O51" s="54">
        <f>Housing!E9</f>
        <v>10</v>
      </c>
      <c r="R51" s="6" t="s">
        <v>151</v>
      </c>
      <c r="S51" s="2"/>
      <c r="T51" s="2"/>
      <c r="U51" s="161">
        <v>0.05</v>
      </c>
      <c r="V51" s="30">
        <f t="shared" si="23"/>
        <v>0.05</v>
      </c>
      <c r="W51" s="30">
        <f>+$U51</f>
        <v>0.05</v>
      </c>
      <c r="X51" s="30">
        <f>+$U51</f>
        <v>0.05</v>
      </c>
    </row>
    <row r="52" spans="3:31">
      <c r="C52" s="4" t="s">
        <v>100</v>
      </c>
      <c r="D52" s="166" t="s">
        <v>96</v>
      </c>
      <c r="E52" s="2"/>
      <c r="F52" s="98"/>
      <c r="G52" s="99">
        <f>Housing!J32</f>
        <v>120</v>
      </c>
      <c r="H52" s="98">
        <f>Housing!J39</f>
        <v>240</v>
      </c>
      <c r="I52" s="98">
        <f>Housing!J46</f>
        <v>150</v>
      </c>
      <c r="K52" s="233" t="s">
        <v>89</v>
      </c>
      <c r="L52" s="216"/>
      <c r="M52" s="234">
        <f>Housing!C10</f>
        <v>46630</v>
      </c>
      <c r="N52" s="234">
        <f>Housing!D10</f>
        <v>47514</v>
      </c>
      <c r="O52" s="234">
        <f>Housing!E10</f>
        <v>48152</v>
      </c>
      <c r="R52" s="6" t="s">
        <v>152</v>
      </c>
      <c r="S52" s="2"/>
      <c r="T52" s="2"/>
      <c r="U52" s="161">
        <v>7.8E-2</v>
      </c>
      <c r="V52" s="30">
        <f t="shared" si="23"/>
        <v>7.8E-2</v>
      </c>
      <c r="W52" s="30">
        <f>+$U52</f>
        <v>7.8E-2</v>
      </c>
      <c r="X52" s="30">
        <f>+$U52</f>
        <v>7.8E-2</v>
      </c>
    </row>
    <row r="53" spans="3:31">
      <c r="C53" s="6" t="s">
        <v>148</v>
      </c>
      <c r="D53" s="2"/>
      <c r="E53" s="2"/>
      <c r="F53" s="98">
        <f>AVERAGE(G53:I53)</f>
        <v>700</v>
      </c>
      <c r="G53" s="99">
        <f>INDEX(Housing!$I$11:$M$16,MATCH(Assumptions!$C$52,Housing!$I$11:$I$16,0),MATCH("Market",Housing!$I$11:$M$11,0))</f>
        <v>700</v>
      </c>
      <c r="H53" s="98">
        <f>INDEX(Housing!$I$11:$M$16,MATCH(Assumptions!$C$52,Housing!$I$11:$I$16,0),MATCH("Market",Housing!$I$11:$M$11,0))</f>
        <v>700</v>
      </c>
      <c r="I53" s="98">
        <f>INDEX(Housing!$I$11:$M$16,MATCH(Assumptions!$C$52,Housing!$I$11:$I$16,0),MATCH("Market",Housing!$I$11:$M$11,0))</f>
        <v>700</v>
      </c>
      <c r="R53" s="6" t="s">
        <v>153</v>
      </c>
      <c r="S53" s="2"/>
      <c r="T53" s="2"/>
      <c r="U53" s="161">
        <v>0.1</v>
      </c>
      <c r="V53" s="30">
        <v>0.08</v>
      </c>
      <c r="W53" s="30">
        <f>+$U53</f>
        <v>0.1</v>
      </c>
      <c r="X53" s="30">
        <v>7.0000000000000007E-2</v>
      </c>
    </row>
    <row r="54" spans="3:31">
      <c r="C54" s="6" t="s">
        <v>116</v>
      </c>
      <c r="D54" s="2"/>
      <c r="E54" s="2"/>
      <c r="F54" s="112">
        <v>4</v>
      </c>
      <c r="G54" s="184">
        <f ca="1">F54*(1+$V$50)^(YEAR($F$4)-YEAR(TODAY()))</f>
        <v>4.5020352399999997</v>
      </c>
      <c r="H54" s="113">
        <f ca="1">G54*(1+$V$59)^(YEAR($F$5)-YEAR($F$4))</f>
        <v>4.7762091861159996</v>
      </c>
      <c r="I54" s="113">
        <f ca="1">H54*(1+$X$59)^(YEAR($F$6)-YEAR($F$5))</f>
        <v>5.0670803255504637</v>
      </c>
      <c r="R54" s="6" t="s">
        <v>154</v>
      </c>
      <c r="S54" s="2"/>
      <c r="T54" s="2"/>
      <c r="U54" s="161">
        <v>0.05</v>
      </c>
      <c r="V54" s="30">
        <f t="shared" ref="V54" si="24">$U54</f>
        <v>0.05</v>
      </c>
      <c r="W54" s="30">
        <f>$U54</f>
        <v>0.05</v>
      </c>
      <c r="X54" s="30">
        <f>$U54</f>
        <v>0.05</v>
      </c>
    </row>
    <row r="55" spans="3:31">
      <c r="C55" s="6" t="s">
        <v>117</v>
      </c>
      <c r="D55" s="2"/>
      <c r="E55" s="2"/>
      <c r="F55" s="111">
        <f ca="1">AVERAGE(G55:I55)</f>
        <v>3347.2424420555085</v>
      </c>
      <c r="G55" s="114">
        <f ca="1">G54*G53</f>
        <v>3151.4246679999997</v>
      </c>
      <c r="H55" s="111">
        <f ca="1">H54*H53</f>
        <v>3343.3464302811999</v>
      </c>
      <c r="I55" s="111">
        <f ca="1">I54*I53</f>
        <v>3546.9562278853246</v>
      </c>
      <c r="R55" s="6" t="s">
        <v>155</v>
      </c>
      <c r="S55" s="2"/>
      <c r="T55" s="2"/>
      <c r="U55" s="161">
        <v>0.05</v>
      </c>
      <c r="V55" s="30">
        <f>+$U55</f>
        <v>0.05</v>
      </c>
      <c r="W55" s="30">
        <f>+$U55</f>
        <v>0.05</v>
      </c>
      <c r="X55" s="30">
        <f>+$U55</f>
        <v>0.05</v>
      </c>
    </row>
    <row r="56" spans="3:31">
      <c r="C56" s="4" t="s">
        <v>101</v>
      </c>
      <c r="D56" s="166" t="s">
        <v>96</v>
      </c>
      <c r="E56" s="10"/>
      <c r="F56" s="98"/>
      <c r="G56" s="99">
        <f>Housing!J33</f>
        <v>50</v>
      </c>
      <c r="H56" s="98">
        <f>Housing!J40</f>
        <v>100</v>
      </c>
      <c r="I56" s="98">
        <f>Housing!J47</f>
        <v>62.5</v>
      </c>
      <c r="R56" s="10"/>
      <c r="S56" s="10"/>
      <c r="T56" s="10"/>
      <c r="U56" s="162"/>
      <c r="V56" s="10"/>
      <c r="W56" s="10"/>
      <c r="X56" s="10"/>
    </row>
    <row r="57" spans="3:31">
      <c r="C57" s="6" t="s">
        <v>148</v>
      </c>
      <c r="D57" s="10"/>
      <c r="E57" s="10"/>
      <c r="F57" s="98">
        <f>AVERAGE(G57:I57)</f>
        <v>900</v>
      </c>
      <c r="G57" s="99">
        <f>INDEX(Housing!$I$11:$M$16,MATCH(Assumptions!$C$56,Housing!$I$11:$I$16,0),MATCH("Market",Housing!$I$11:$M$11,0))</f>
        <v>900</v>
      </c>
      <c r="H57" s="98">
        <f>INDEX(Housing!$I$11:$M$16,MATCH(Assumptions!$C$56,Housing!$I$11:$I$16,0),MATCH("Market",Housing!$I$11:$M$11,0))</f>
        <v>900</v>
      </c>
      <c r="I57" s="98">
        <f>INDEX(Housing!$I$11:$M$16,MATCH(Assumptions!$C$56,Housing!$I$11:$I$16,0),MATCH("Market",Housing!$I$11:$M$11,0))</f>
        <v>900</v>
      </c>
      <c r="R57" s="29" t="s">
        <v>156</v>
      </c>
      <c r="S57" s="10"/>
      <c r="T57" s="10"/>
      <c r="U57" s="163"/>
      <c r="V57" s="10"/>
      <c r="W57" s="10"/>
      <c r="X57" s="10"/>
    </row>
    <row r="58" spans="3:31">
      <c r="C58" s="6" t="s">
        <v>116</v>
      </c>
      <c r="D58" s="10"/>
      <c r="E58" s="10"/>
      <c r="F58" s="112">
        <v>3.75</v>
      </c>
      <c r="G58" s="184">
        <f ca="1">F58*(1+$V$50)^(YEAR($F$4)-YEAR(TODAY()))</f>
        <v>4.2206580374999998</v>
      </c>
      <c r="H58" s="113">
        <f ca="1">G58*(1+$V$59)^(YEAR($F$5)-YEAR($F$4))</f>
        <v>4.4776961119837493</v>
      </c>
      <c r="I58" s="113">
        <f ca="1">H58*(1+$X$59)^(YEAR($F$6)-YEAR($F$5))</f>
        <v>4.7503878052035597</v>
      </c>
      <c r="R58" s="6" t="s">
        <v>157</v>
      </c>
      <c r="S58" s="10"/>
      <c r="T58" s="10"/>
      <c r="U58" s="164">
        <v>1.4999999999999999E-2</v>
      </c>
      <c r="V58" s="30">
        <f t="shared" ref="V58:V65" si="25">$U58</f>
        <v>1.4999999999999999E-2</v>
      </c>
      <c r="W58" s="30">
        <f>$U58</f>
        <v>1.4999999999999999E-2</v>
      </c>
      <c r="X58" s="30">
        <f>$U58</f>
        <v>1.4999999999999999E-2</v>
      </c>
    </row>
    <row r="59" spans="3:31">
      <c r="C59" s="6" t="s">
        <v>117</v>
      </c>
      <c r="D59" s="10"/>
      <c r="E59" s="10"/>
      <c r="F59" s="111">
        <f ca="1">AVERAGE(G59:I59)</f>
        <v>4034.6225864061926</v>
      </c>
      <c r="G59" s="114">
        <f ca="1">G58*G57</f>
        <v>3798.5922337499997</v>
      </c>
      <c r="H59" s="111">
        <f t="shared" ref="H59:I59" ca="1" si="26">H58*H57</f>
        <v>4029.9265007853742</v>
      </c>
      <c r="I59" s="111">
        <f t="shared" ca="1" si="26"/>
        <v>4275.3490246832034</v>
      </c>
      <c r="R59" s="6" t="s">
        <v>158</v>
      </c>
      <c r="S59" s="10"/>
      <c r="T59" s="10"/>
      <c r="U59" s="164">
        <v>0.03</v>
      </c>
      <c r="V59" s="30">
        <f t="shared" si="25"/>
        <v>0.03</v>
      </c>
      <c r="W59" s="30">
        <f>$U59</f>
        <v>0.03</v>
      </c>
      <c r="X59" s="30">
        <f>$U59</f>
        <v>0.03</v>
      </c>
    </row>
    <row r="60" spans="3:31">
      <c r="C60" s="4" t="s">
        <v>102</v>
      </c>
      <c r="D60" s="166" t="s">
        <v>96</v>
      </c>
      <c r="E60" s="10"/>
      <c r="F60" s="98"/>
      <c r="G60" s="99">
        <f>Housing!J34</f>
        <v>10</v>
      </c>
      <c r="H60" s="98">
        <f>Housing!J41</f>
        <v>20</v>
      </c>
      <c r="I60" s="98">
        <f>Housing!J48</f>
        <v>12.5</v>
      </c>
      <c r="R60" s="6" t="s">
        <v>159</v>
      </c>
      <c r="S60" s="10"/>
      <c r="T60" s="10"/>
      <c r="U60" s="161">
        <v>0.1</v>
      </c>
      <c r="V60" s="30">
        <f t="shared" si="25"/>
        <v>0.1</v>
      </c>
      <c r="W60" s="30">
        <f>$U60</f>
        <v>0.1</v>
      </c>
      <c r="X60" s="30">
        <f>$U60</f>
        <v>0.1</v>
      </c>
    </row>
    <row r="61" spans="3:31">
      <c r="C61" s="6" t="s">
        <v>148</v>
      </c>
      <c r="D61" s="10"/>
      <c r="E61" s="10"/>
      <c r="F61" s="98">
        <f>AVERAGE(G61:I61)</f>
        <v>1100</v>
      </c>
      <c r="G61" s="99">
        <f>INDEX(Housing!$I$11:$M$16,MATCH(Assumptions!$C$60,Housing!$I$11:$I$16,0),MATCH("Market",Housing!$I$11:$M$11,0))</f>
        <v>1100</v>
      </c>
      <c r="H61" s="98">
        <f>INDEX(Housing!$I$11:$M$16,MATCH(Assumptions!$C$60,Housing!$I$11:$I$16,0),MATCH("Market",Housing!$I$11:$M$11,0))</f>
        <v>1100</v>
      </c>
      <c r="I61" s="98">
        <f>INDEX(Housing!$I$11:$M$16,MATCH(Assumptions!$C$60,Housing!$I$11:$I$16,0),MATCH("Market",Housing!$I$11:$M$11,0))</f>
        <v>1100</v>
      </c>
      <c r="R61" s="31" t="s">
        <v>160</v>
      </c>
      <c r="S61" s="10"/>
      <c r="T61" s="10"/>
      <c r="U61" s="165">
        <v>3</v>
      </c>
      <c r="V61" s="32">
        <f t="shared" si="25"/>
        <v>3</v>
      </c>
      <c r="W61" s="32">
        <f>$U61</f>
        <v>3</v>
      </c>
      <c r="X61" s="32">
        <f>$U61</f>
        <v>3</v>
      </c>
    </row>
    <row r="62" spans="3:31">
      <c r="C62" s="6" t="s">
        <v>116</v>
      </c>
      <c r="D62" s="10"/>
      <c r="E62" s="10"/>
      <c r="F62" s="112">
        <v>3.55</v>
      </c>
      <c r="G62" s="184">
        <f ca="1">F62*(1+$V$59)^(YEAR($F$4)-YEAR(TODAY()))</f>
        <v>3.9955562754999994</v>
      </c>
      <c r="H62" s="113">
        <f ca="1">G62*(1+$W$59)^(YEAR($F$5)-YEAR($F$4))</f>
        <v>4.2388856526779488</v>
      </c>
      <c r="I62" s="113">
        <f ca="1">H62*(1+$X$59)^(YEAR($F$6)-YEAR($F$5))</f>
        <v>4.4970337889260357</v>
      </c>
      <c r="R62" s="6" t="s">
        <v>161</v>
      </c>
      <c r="S62" s="10"/>
      <c r="T62" s="10"/>
      <c r="U62" s="161">
        <v>0.1</v>
      </c>
      <c r="V62" s="30">
        <f t="shared" si="25"/>
        <v>0.1</v>
      </c>
      <c r="W62" s="30">
        <f>$U62</f>
        <v>0.1</v>
      </c>
      <c r="X62" s="30">
        <f>$U62</f>
        <v>0.1</v>
      </c>
    </row>
    <row r="63" spans="3:31">
      <c r="C63" s="6" t="s">
        <v>117</v>
      </c>
      <c r="D63" s="10"/>
      <c r="E63" s="10"/>
      <c r="F63" s="111">
        <f ca="1">AVERAGE(G63:I63)</f>
        <v>4668.2077629381274</v>
      </c>
      <c r="G63" s="115">
        <f ca="1">G62*G61</f>
        <v>4395.1119030499995</v>
      </c>
      <c r="H63" s="111">
        <f t="shared" ref="H63:I63" ca="1" si="27">H62*H61</f>
        <v>4662.7742179457437</v>
      </c>
      <c r="I63" s="111">
        <f t="shared" ca="1" si="27"/>
        <v>4946.7371678186391</v>
      </c>
      <c r="R63" s="31" t="s">
        <v>160</v>
      </c>
      <c r="S63" s="10"/>
      <c r="T63" s="10"/>
      <c r="U63" s="165">
        <v>3</v>
      </c>
      <c r="V63" s="32">
        <f t="shared" si="25"/>
        <v>3</v>
      </c>
      <c r="W63" s="32">
        <f>$U63</f>
        <v>3</v>
      </c>
      <c r="X63" s="32">
        <f>$U63</f>
        <v>3</v>
      </c>
    </row>
    <row r="64" spans="3:31">
      <c r="C64" s="11" t="s">
        <v>127</v>
      </c>
      <c r="D64" s="12"/>
      <c r="E64" s="12"/>
      <c r="F64" s="13">
        <f ca="1">+SUM(G64:I64)</f>
        <v>36013900.21946203</v>
      </c>
      <c r="G64" s="116">
        <f ca="1">(+G50*G49*G48+G52*G53*G54+G56*G57*G58+G60*G61*G62)*12</f>
        <v>7952395.0479359981</v>
      </c>
      <c r="H64" s="225">
        <f t="shared" ref="H64:I64" ca="1" si="28">(+H50*H49*H48+H52*H53*H54+H56*H57*H58+H60*H61*H62)*12</f>
        <v>16873391.812710606</v>
      </c>
      <c r="I64" s="225">
        <f t="shared" ca="1" si="28"/>
        <v>11188113.358815424</v>
      </c>
      <c r="R64" s="6" t="s">
        <v>162</v>
      </c>
      <c r="S64" s="10"/>
      <c r="T64" s="10"/>
      <c r="U64" s="161">
        <v>0</v>
      </c>
      <c r="V64" s="33">
        <f t="shared" si="25"/>
        <v>0</v>
      </c>
      <c r="W64" s="33">
        <f>$U64</f>
        <v>0</v>
      </c>
      <c r="X64" s="33">
        <f>$U64</f>
        <v>0</v>
      </c>
    </row>
    <row r="65" spans="3:24">
      <c r="C65" s="14" t="s">
        <v>129</v>
      </c>
      <c r="D65" s="15"/>
      <c r="E65" s="15"/>
      <c r="F65" s="16">
        <f>+SUM(G65:I65)</f>
        <v>637500</v>
      </c>
      <c r="G65" s="24">
        <f>+G48*G49+G52*G53+G56*G57+G60*G61</f>
        <v>150000</v>
      </c>
      <c r="H65" s="28">
        <f>+H48*H49+H52*H53+H56*H57+H60*H61</f>
        <v>300000</v>
      </c>
      <c r="I65" s="28">
        <f>+I48*I49+I52*I53+I56*I57+I60*I61</f>
        <v>187500</v>
      </c>
      <c r="R65" s="6" t="s">
        <v>163</v>
      </c>
      <c r="S65" s="10"/>
      <c r="T65" s="10"/>
      <c r="U65" s="161">
        <v>0.03</v>
      </c>
      <c r="V65" s="30">
        <f t="shared" si="25"/>
        <v>0.03</v>
      </c>
      <c r="W65" s="30">
        <f>$U65</f>
        <v>0.03</v>
      </c>
      <c r="X65" s="30">
        <f>$U65</f>
        <v>0.03</v>
      </c>
    </row>
    <row r="66" spans="3:24">
      <c r="C66" s="6" t="s">
        <v>131</v>
      </c>
      <c r="D66" s="10"/>
      <c r="E66" s="10"/>
      <c r="F66" s="5">
        <f>+SUM(G66:I66)</f>
        <v>850</v>
      </c>
      <c r="G66" s="24">
        <f>+G48+G52+G56+G60</f>
        <v>200</v>
      </c>
      <c r="H66" s="28">
        <f>+H48+H52+H56+H60</f>
        <v>400</v>
      </c>
      <c r="I66" s="28">
        <f>+I48+I52+I56+I60</f>
        <v>250</v>
      </c>
      <c r="R66" s="6"/>
      <c r="S66" s="10"/>
      <c r="T66" s="10"/>
      <c r="U66" s="161"/>
      <c r="V66" s="30"/>
      <c r="W66" s="30"/>
      <c r="X66" s="30"/>
    </row>
    <row r="67" spans="3:24">
      <c r="C67" s="6" t="s">
        <v>133</v>
      </c>
      <c r="D67" s="10"/>
      <c r="E67" s="10"/>
      <c r="F67" s="17">
        <f ca="1">+IFERROR(F64/F65/12,"")</f>
        <v>4.7076993750930756</v>
      </c>
      <c r="G67" s="25">
        <f ca="1">+IFERROR(G64/G65/12,"")</f>
        <v>4.4179972488533323</v>
      </c>
      <c r="H67" s="8">
        <f ca="1">+IFERROR(H64/H65/12,"")</f>
        <v>4.6870532813085015</v>
      </c>
      <c r="I67" s="8">
        <f ca="1">+IFERROR(I64/I65/12,"")</f>
        <v>4.9724948261401885</v>
      </c>
      <c r="R67" s="29" t="s">
        <v>164</v>
      </c>
      <c r="S67" s="10"/>
      <c r="T67" s="10"/>
      <c r="U67" s="163"/>
      <c r="V67" s="10"/>
      <c r="W67" s="10"/>
      <c r="X67" s="10"/>
    </row>
    <row r="68" spans="3:24">
      <c r="C68" s="18" t="s">
        <v>134</v>
      </c>
      <c r="D68" s="19"/>
      <c r="E68" s="19"/>
      <c r="F68" s="20">
        <f ca="1">+IFERROR(F64/F66/12,"")</f>
        <v>3530.7745313198066</v>
      </c>
      <c r="G68" s="26">
        <f ca="1">+IFERROR(G64/G66/12,"")</f>
        <v>3313.4979366399989</v>
      </c>
      <c r="H68" s="21">
        <f ca="1">+IFERROR(H64/H66/12,"")</f>
        <v>3515.2899609813762</v>
      </c>
      <c r="I68" s="21">
        <f ca="1">+IFERROR(I64/I66/12,"")</f>
        <v>3729.3711196051413</v>
      </c>
      <c r="R68" s="6" t="s">
        <v>157</v>
      </c>
      <c r="S68" s="10"/>
      <c r="T68" s="10"/>
      <c r="U68" s="161">
        <v>0.03</v>
      </c>
      <c r="V68" s="30">
        <f t="shared" ref="V68:V73" si="29">$U68</f>
        <v>0.03</v>
      </c>
      <c r="W68" s="30">
        <f>$U68</f>
        <v>0.03</v>
      </c>
      <c r="X68" s="30">
        <f>$U68</f>
        <v>0.03</v>
      </c>
    </row>
    <row r="69" spans="3:24">
      <c r="R69" s="6" t="s">
        <v>158</v>
      </c>
      <c r="S69" s="10"/>
      <c r="T69" s="10"/>
      <c r="U69" s="161">
        <v>0.03</v>
      </c>
      <c r="V69" s="30">
        <f t="shared" si="29"/>
        <v>0.03</v>
      </c>
      <c r="W69" s="30">
        <f>$U69</f>
        <v>0.03</v>
      </c>
      <c r="X69" s="30">
        <f>$U69</f>
        <v>0.03</v>
      </c>
    </row>
    <row r="70" spans="3:24">
      <c r="F70" s="167"/>
      <c r="R70" s="6" t="s">
        <v>159</v>
      </c>
      <c r="S70" s="10"/>
      <c r="T70" s="10"/>
      <c r="U70" s="161">
        <v>0.03</v>
      </c>
      <c r="V70" s="30">
        <f t="shared" si="29"/>
        <v>0.03</v>
      </c>
      <c r="W70" s="30">
        <f>$U70</f>
        <v>0.03</v>
      </c>
      <c r="X70" s="30">
        <f>$U70</f>
        <v>0.03</v>
      </c>
    </row>
    <row r="71" spans="3:24">
      <c r="R71" s="6" t="s">
        <v>161</v>
      </c>
      <c r="S71" s="10"/>
      <c r="T71" s="10"/>
      <c r="U71" s="161">
        <v>0.03</v>
      </c>
      <c r="V71" s="30">
        <f t="shared" si="29"/>
        <v>0.03</v>
      </c>
      <c r="W71" s="30">
        <f>$U71</f>
        <v>0.03</v>
      </c>
      <c r="X71" s="30">
        <f>$U71</f>
        <v>0.03</v>
      </c>
    </row>
    <row r="72" spans="3:24">
      <c r="R72" s="6" t="s">
        <v>162</v>
      </c>
      <c r="S72" s="10"/>
      <c r="T72" s="10"/>
      <c r="U72" s="161">
        <v>0.03</v>
      </c>
      <c r="V72" s="30">
        <f t="shared" si="29"/>
        <v>0.03</v>
      </c>
      <c r="W72" s="30">
        <f>$U72</f>
        <v>0.03</v>
      </c>
      <c r="X72" s="30">
        <f>$U72</f>
        <v>0.03</v>
      </c>
    </row>
    <row r="73" spans="3:24" ht="17.100000000000001" thickBot="1">
      <c r="C73" s="471" t="s">
        <v>165</v>
      </c>
      <c r="D73" s="471"/>
      <c r="E73" s="3"/>
      <c r="F73" s="3" t="s">
        <v>145</v>
      </c>
      <c r="G73" s="3" t="s">
        <v>91</v>
      </c>
      <c r="H73" s="3" t="s">
        <v>93</v>
      </c>
      <c r="I73" s="3" t="s">
        <v>94</v>
      </c>
      <c r="K73" s="471" t="s">
        <v>166</v>
      </c>
      <c r="L73" s="471"/>
      <c r="M73" s="3" t="s">
        <v>91</v>
      </c>
      <c r="N73" s="3" t="s">
        <v>93</v>
      </c>
      <c r="O73" s="3" t="s">
        <v>94</v>
      </c>
      <c r="R73" s="6" t="s">
        <v>163</v>
      </c>
      <c r="S73" s="10"/>
      <c r="T73" s="10"/>
      <c r="U73" s="161">
        <v>0.03</v>
      </c>
      <c r="V73" s="30">
        <f t="shared" si="29"/>
        <v>0.03</v>
      </c>
      <c r="W73" s="30">
        <f>$U73</f>
        <v>0.03</v>
      </c>
      <c r="X73" s="30">
        <f>$U73</f>
        <v>0.03</v>
      </c>
    </row>
    <row r="74" spans="3:24">
      <c r="C74" s="4" t="s">
        <v>128</v>
      </c>
      <c r="D74" s="2"/>
      <c r="G74" s="219"/>
      <c r="K74" s="4" t="s">
        <v>128</v>
      </c>
      <c r="R74" s="31"/>
      <c r="S74" s="10"/>
      <c r="T74" s="10"/>
      <c r="U74" s="165"/>
      <c r="V74" s="32"/>
      <c r="W74" s="32"/>
      <c r="X74" s="32"/>
    </row>
    <row r="75" spans="3:24">
      <c r="C75" s="6" t="s">
        <v>167</v>
      </c>
      <c r="D75" s="2"/>
      <c r="F75" s="91">
        <f>AVERAGE(G75:I75)</f>
        <v>103333.33333333333</v>
      </c>
      <c r="G75" s="220">
        <v>150000</v>
      </c>
      <c r="H75" s="218">
        <v>100000</v>
      </c>
      <c r="I75" s="218">
        <v>60000</v>
      </c>
      <c r="K75" s="6" t="s">
        <v>167</v>
      </c>
      <c r="M75" s="91">
        <f>G75</f>
        <v>150000</v>
      </c>
      <c r="N75" s="91">
        <f t="shared" ref="N75:O75" si="30">H75</f>
        <v>100000</v>
      </c>
      <c r="O75" s="91">
        <f t="shared" si="30"/>
        <v>60000</v>
      </c>
      <c r="R75" s="29" t="s">
        <v>168</v>
      </c>
      <c r="S75" s="10"/>
      <c r="T75" s="10"/>
      <c r="U75" s="162"/>
      <c r="V75" s="10"/>
      <c r="W75" s="10"/>
      <c r="X75" s="10"/>
    </row>
    <row r="76" spans="3:24">
      <c r="C76" s="6" t="s">
        <v>116</v>
      </c>
      <c r="D76" s="2"/>
      <c r="F76" s="144">
        <v>40</v>
      </c>
      <c r="G76" s="222">
        <f ca="1">F76*(1+$V$62/$V$63)^(YEAR($F$4)-YEAR(TODAY()))</f>
        <v>45.605975308641995</v>
      </c>
      <c r="H76" s="147">
        <f ca="1">G76*(1+$V$62/$V$63)^(YEAR($F$5)-YEAR($F$4))</f>
        <v>48.697046968449961</v>
      </c>
      <c r="I76" s="147">
        <f ca="1">H76*(1+$V$62/$V$63)^(YEAR($F$6)-YEAR($F$5))</f>
        <v>51.997624596311574</v>
      </c>
      <c r="K76" s="6" t="s">
        <v>169</v>
      </c>
      <c r="M76" s="218">
        <v>120000</v>
      </c>
      <c r="N76" s="218">
        <v>100000</v>
      </c>
      <c r="O76" s="218">
        <v>100000</v>
      </c>
      <c r="R76" s="6" t="s">
        <v>170</v>
      </c>
      <c r="S76" s="10"/>
      <c r="T76" s="10"/>
      <c r="U76" s="161"/>
      <c r="V76" s="192">
        <v>0.03</v>
      </c>
      <c r="W76" s="192">
        <v>0.03</v>
      </c>
      <c r="X76" s="192">
        <v>0.03</v>
      </c>
    </row>
    <row r="77" spans="3:24">
      <c r="C77" s="6" t="s">
        <v>171</v>
      </c>
      <c r="D77" s="2"/>
      <c r="F77" s="147">
        <f ca="1">AVERAGE(G77:I77)</f>
        <v>4943486.1563066626</v>
      </c>
      <c r="G77" s="222">
        <f ca="1">G76*G75</f>
        <v>6840896.2962962994</v>
      </c>
      <c r="H77" s="147">
        <f t="shared" ref="H77:I77" ca="1" si="31">H76*H75</f>
        <v>4869704.696844996</v>
      </c>
      <c r="I77" s="147">
        <f t="shared" ca="1" si="31"/>
        <v>3119857.4757786943</v>
      </c>
      <c r="K77" s="6" t="s">
        <v>142</v>
      </c>
      <c r="M77" s="54">
        <f>M75/M76*12</f>
        <v>15</v>
      </c>
      <c r="N77" s="54">
        <f t="shared" ref="N77:O77" si="32">N75/N76*12</f>
        <v>12</v>
      </c>
      <c r="O77" s="54">
        <f t="shared" si="32"/>
        <v>7.1999999999999993</v>
      </c>
      <c r="R77" s="6" t="s">
        <v>172</v>
      </c>
      <c r="S77" s="10"/>
      <c r="T77" s="10"/>
      <c r="U77" s="165"/>
      <c r="V77" s="258">
        <v>1</v>
      </c>
      <c r="W77" s="258">
        <v>1</v>
      </c>
      <c r="X77" s="258">
        <v>1</v>
      </c>
    </row>
    <row r="78" spans="3:24">
      <c r="C78" s="4" t="s">
        <v>130</v>
      </c>
      <c r="D78" s="2"/>
      <c r="F78" s="91"/>
      <c r="G78" s="205"/>
      <c r="H78" s="23"/>
      <c r="I78" s="23"/>
      <c r="K78" s="4" t="s">
        <v>130</v>
      </c>
      <c r="M78" s="23"/>
      <c r="N78" s="23"/>
      <c r="O78" s="23"/>
      <c r="R78" s="6"/>
      <c r="S78" s="10"/>
      <c r="T78" s="10"/>
      <c r="U78" s="165"/>
      <c r="V78" s="32"/>
      <c r="W78" s="32"/>
      <c r="X78" s="32"/>
    </row>
    <row r="79" spans="3:24">
      <c r="C79" s="6" t="s">
        <v>167</v>
      </c>
      <c r="D79" s="2"/>
      <c r="F79" s="147">
        <f t="shared" ref="F79:F85" si="33">AVERAGE(G79:I79)</f>
        <v>5000</v>
      </c>
      <c r="G79" s="220">
        <v>15000</v>
      </c>
      <c r="H79" s="218">
        <v>0</v>
      </c>
      <c r="I79" s="218">
        <v>0</v>
      </c>
      <c r="K79" s="6" t="s">
        <v>167</v>
      </c>
      <c r="M79" s="91">
        <f>G79</f>
        <v>15000</v>
      </c>
      <c r="N79" s="91">
        <f t="shared" ref="N79:O79" si="34">H79</f>
        <v>0</v>
      </c>
      <c r="O79" s="91">
        <f t="shared" si="34"/>
        <v>0</v>
      </c>
      <c r="R79" s="29" t="s">
        <v>173</v>
      </c>
      <c r="S79" s="10"/>
      <c r="T79" s="10"/>
      <c r="U79" s="165"/>
      <c r="V79" s="32"/>
      <c r="W79" s="32"/>
      <c r="X79" s="32"/>
    </row>
    <row r="80" spans="3:24">
      <c r="C80" s="6" t="s">
        <v>116</v>
      </c>
      <c r="D80" s="2"/>
      <c r="F80" s="147">
        <f t="shared" si="33"/>
        <v>42.772362139917696</v>
      </c>
      <c r="G80" s="221">
        <v>40</v>
      </c>
      <c r="H80" s="147">
        <f>G80*(1+$V$62/$V$63)^(YEAR($F$5)-YEAR($F$4))</f>
        <v>42.711111111111116</v>
      </c>
      <c r="I80" s="147">
        <f>H80*(1+$V$62/$V$63)^(YEAR($F$6)-YEAR($F$5))</f>
        <v>45.605975308641987</v>
      </c>
      <c r="K80" s="6" t="s">
        <v>169</v>
      </c>
      <c r="M80" s="218">
        <v>50000</v>
      </c>
      <c r="N80" s="218">
        <v>50000</v>
      </c>
      <c r="O80" s="218">
        <v>50000</v>
      </c>
      <c r="R80" s="6" t="s">
        <v>174</v>
      </c>
      <c r="S80" s="10"/>
      <c r="T80" s="10"/>
      <c r="U80" s="161">
        <v>0.8</v>
      </c>
      <c r="V80" s="33">
        <f>U80</f>
        <v>0.8</v>
      </c>
      <c r="W80" s="33">
        <f>U80</f>
        <v>0.8</v>
      </c>
      <c r="X80" s="33">
        <f>U80</f>
        <v>0.8</v>
      </c>
    </row>
    <row r="81" spans="3:24">
      <c r="C81" s="6" t="s">
        <v>171</v>
      </c>
      <c r="D81" s="2"/>
      <c r="F81" s="91">
        <f t="shared" si="33"/>
        <v>200000</v>
      </c>
      <c r="G81" s="222">
        <f>G80*G79</f>
        <v>600000</v>
      </c>
      <c r="H81" s="147">
        <f t="shared" ref="H81:I81" si="35">H80*H79</f>
        <v>0</v>
      </c>
      <c r="I81" s="147">
        <f t="shared" si="35"/>
        <v>0</v>
      </c>
      <c r="K81" s="6" t="s">
        <v>142</v>
      </c>
      <c r="M81" s="54">
        <f>M79/M80*12</f>
        <v>3.5999999999999996</v>
      </c>
      <c r="N81" s="54">
        <f t="shared" ref="N81:O81" si="36">N79/N80*12</f>
        <v>0</v>
      </c>
      <c r="O81" s="54">
        <f t="shared" si="36"/>
        <v>0</v>
      </c>
      <c r="R81" s="6" t="s">
        <v>175</v>
      </c>
      <c r="S81" s="10"/>
      <c r="T81" s="10"/>
      <c r="U81" s="208">
        <v>0.65</v>
      </c>
      <c r="V81" s="33">
        <f t="shared" ref="V81:V83" si="37">U81</f>
        <v>0.65</v>
      </c>
      <c r="W81" s="33">
        <f t="shared" ref="W81:W84" si="38">U81</f>
        <v>0.65</v>
      </c>
      <c r="X81" s="33">
        <f t="shared" ref="X81:X84" si="39">U81</f>
        <v>0.65</v>
      </c>
    </row>
    <row r="82" spans="3:24">
      <c r="C82" s="4" t="s">
        <v>176</v>
      </c>
      <c r="D82" s="10"/>
      <c r="F82" s="147"/>
      <c r="G82" s="205"/>
      <c r="H82" s="23"/>
      <c r="I82" s="23"/>
      <c r="K82" s="4" t="s">
        <v>176</v>
      </c>
      <c r="M82" s="23"/>
      <c r="N82" s="23"/>
      <c r="O82" s="23"/>
      <c r="R82" s="6" t="s">
        <v>177</v>
      </c>
      <c r="S82" s="10"/>
      <c r="T82" s="10"/>
      <c r="U82" s="161">
        <v>0.75</v>
      </c>
      <c r="V82" s="33">
        <f t="shared" si="37"/>
        <v>0.75</v>
      </c>
      <c r="W82" s="33">
        <f t="shared" si="38"/>
        <v>0.75</v>
      </c>
      <c r="X82" s="33">
        <f t="shared" si="39"/>
        <v>0.75</v>
      </c>
    </row>
    <row r="83" spans="3:24">
      <c r="C83" s="6" t="s">
        <v>167</v>
      </c>
      <c r="D83" s="10"/>
      <c r="F83" s="147">
        <f t="shared" si="33"/>
        <v>15000</v>
      </c>
      <c r="G83" s="220">
        <v>15000</v>
      </c>
      <c r="H83" s="218">
        <v>0</v>
      </c>
      <c r="I83" s="218">
        <v>30000</v>
      </c>
      <c r="K83" s="6" t="s">
        <v>167</v>
      </c>
      <c r="M83" s="91">
        <f>G83</f>
        <v>15000</v>
      </c>
      <c r="N83" s="91">
        <f t="shared" ref="N83:O83" si="40">H83</f>
        <v>0</v>
      </c>
      <c r="O83" s="91">
        <f t="shared" si="40"/>
        <v>30000</v>
      </c>
      <c r="R83" s="6" t="s">
        <v>124</v>
      </c>
      <c r="S83" s="10"/>
      <c r="T83" s="10"/>
      <c r="U83" s="208">
        <v>0.97</v>
      </c>
      <c r="V83" s="33">
        <f t="shared" si="37"/>
        <v>0.97</v>
      </c>
      <c r="W83" s="33">
        <f t="shared" si="38"/>
        <v>0.97</v>
      </c>
      <c r="X83" s="33">
        <f t="shared" si="39"/>
        <v>0.97</v>
      </c>
    </row>
    <row r="84" spans="3:24">
      <c r="C84" s="6" t="s">
        <v>116</v>
      </c>
      <c r="D84" s="10"/>
      <c r="F84" s="91">
        <f t="shared" si="33"/>
        <v>20</v>
      </c>
      <c r="G84" s="221">
        <v>20</v>
      </c>
      <c r="H84" s="147">
        <f>G84</f>
        <v>20</v>
      </c>
      <c r="I84" s="147">
        <f>G84</f>
        <v>20</v>
      </c>
      <c r="K84" s="6" t="s">
        <v>169</v>
      </c>
      <c r="M84" s="218">
        <v>50000</v>
      </c>
      <c r="N84" s="218">
        <v>50000</v>
      </c>
      <c r="O84" s="218">
        <v>50000</v>
      </c>
      <c r="R84" s="6" t="s">
        <v>10</v>
      </c>
      <c r="U84" s="208">
        <v>0.97</v>
      </c>
      <c r="V84" s="33">
        <v>0.97</v>
      </c>
      <c r="W84" s="33">
        <f t="shared" si="38"/>
        <v>0.97</v>
      </c>
      <c r="X84" s="33">
        <f t="shared" si="39"/>
        <v>0.97</v>
      </c>
    </row>
    <row r="85" spans="3:24">
      <c r="C85" s="6" t="s">
        <v>171</v>
      </c>
      <c r="D85" s="10"/>
      <c r="F85" s="147">
        <f t="shared" si="33"/>
        <v>300000</v>
      </c>
      <c r="G85" s="222">
        <f>G84*G83</f>
        <v>300000</v>
      </c>
      <c r="H85" s="147">
        <f t="shared" ref="H85:I85" si="41">H84*H83</f>
        <v>0</v>
      </c>
      <c r="I85" s="147">
        <f t="shared" si="41"/>
        <v>600000</v>
      </c>
      <c r="K85" s="6" t="s">
        <v>142</v>
      </c>
      <c r="M85" s="54">
        <f>M83/M84*12</f>
        <v>3.5999999999999996</v>
      </c>
      <c r="N85" s="54">
        <f t="shared" ref="N85:O85" si="42">N83/N84*12</f>
        <v>0</v>
      </c>
      <c r="O85" s="54">
        <f t="shared" si="42"/>
        <v>7.1999999999999993</v>
      </c>
    </row>
    <row r="86" spans="3:24">
      <c r="C86" s="11" t="s">
        <v>178</v>
      </c>
      <c r="D86" s="12"/>
      <c r="E86" s="151"/>
      <c r="F86" s="152">
        <f ca="1">SUM(G86:I86)</f>
        <v>16330458.468919989</v>
      </c>
      <c r="G86" s="223">
        <f ca="1">SUM(G85,G81,G77)</f>
        <v>7740896.2962962994</v>
      </c>
      <c r="H86" s="152">
        <f t="shared" ref="H86:I86" ca="1" si="43">SUM(H85,H81,H77)</f>
        <v>4869704.696844996</v>
      </c>
      <c r="I86" s="152">
        <f t="shared" ca="1" si="43"/>
        <v>3719857.4757786943</v>
      </c>
      <c r="K86" s="106" t="s">
        <v>88</v>
      </c>
      <c r="L86" s="226"/>
      <c r="M86" s="232">
        <f>F4</f>
        <v>46387</v>
      </c>
      <c r="N86" s="232">
        <f>F5</f>
        <v>47118</v>
      </c>
      <c r="O86" s="232">
        <f>F6</f>
        <v>47848</v>
      </c>
    </row>
    <row r="87" spans="3:24" ht="17.100000000000001" thickBot="1">
      <c r="C87" s="6" t="s">
        <v>129</v>
      </c>
      <c r="D87" s="10"/>
      <c r="F87" s="91">
        <f>SUM(G87:I87)</f>
        <v>370000</v>
      </c>
      <c r="G87" s="202">
        <f>SUM(G83,G79,G75)</f>
        <v>180000</v>
      </c>
      <c r="H87" s="91">
        <f t="shared" ref="H87:I87" si="44">SUM(H83,H79,H75)</f>
        <v>100000</v>
      </c>
      <c r="I87" s="91">
        <f t="shared" si="44"/>
        <v>90000</v>
      </c>
      <c r="K87" s="4" t="s">
        <v>142</v>
      </c>
      <c r="M87" s="54">
        <f>MAX(M85,M81,M77)</f>
        <v>15</v>
      </c>
      <c r="N87" s="54">
        <f t="shared" ref="N87:O87" si="45">MAX(N85,N81,N77)</f>
        <v>12</v>
      </c>
      <c r="O87" s="54">
        <f t="shared" si="45"/>
        <v>7.1999999999999993</v>
      </c>
      <c r="R87" s="474" t="s">
        <v>179</v>
      </c>
      <c r="S87" s="474"/>
      <c r="T87" s="187"/>
      <c r="U87" s="187"/>
      <c r="V87" s="187" t="s">
        <v>91</v>
      </c>
      <c r="W87" s="187" t="s">
        <v>93</v>
      </c>
      <c r="X87" s="187" t="s">
        <v>94</v>
      </c>
    </row>
    <row r="88" spans="3:24">
      <c r="C88" s="18" t="s">
        <v>133</v>
      </c>
      <c r="D88" s="19"/>
      <c r="E88" s="216"/>
      <c r="F88" s="217">
        <f ca="1">SUM(G88:I88)</f>
        <v>133.03377612319267</v>
      </c>
      <c r="G88" s="224">
        <f ca="1">G86/G87</f>
        <v>43.004979423868328</v>
      </c>
      <c r="H88" s="217">
        <f t="shared" ref="H88:I88" ca="1" si="46">H86/H87</f>
        <v>48.697046968449961</v>
      </c>
      <c r="I88" s="217">
        <f t="shared" ca="1" si="46"/>
        <v>41.331749730874378</v>
      </c>
      <c r="K88" s="4" t="s">
        <v>89</v>
      </c>
      <c r="M88" s="77">
        <f>EOMONTH(M86,M87)</f>
        <v>46843</v>
      </c>
      <c r="N88" s="77">
        <f t="shared" ref="N88:O88" si="47">EOMONTH(N86,N87)</f>
        <v>47483</v>
      </c>
      <c r="O88" s="77">
        <f t="shared" si="47"/>
        <v>48060</v>
      </c>
      <c r="R88" s="188" t="s">
        <v>180</v>
      </c>
      <c r="S88" s="130"/>
      <c r="T88" s="130"/>
      <c r="U88" s="130"/>
      <c r="V88" s="130"/>
      <c r="W88" s="130"/>
      <c r="X88" s="130"/>
    </row>
    <row r="89" spans="3:24">
      <c r="K89" s="226"/>
      <c r="L89" s="226"/>
      <c r="M89" s="226"/>
      <c r="N89" s="226"/>
      <c r="O89" s="226"/>
      <c r="R89" s="189" t="s">
        <v>174</v>
      </c>
      <c r="S89" s="108"/>
      <c r="T89" s="108"/>
      <c r="U89" s="190"/>
      <c r="V89" s="193">
        <v>0.06</v>
      </c>
      <c r="W89" s="193">
        <v>0.06</v>
      </c>
      <c r="X89" s="193">
        <v>0.06</v>
      </c>
    </row>
    <row r="90" spans="3:24">
      <c r="R90" s="189" t="s">
        <v>175</v>
      </c>
      <c r="S90" s="108"/>
      <c r="T90" s="108"/>
      <c r="U90" s="190"/>
      <c r="V90" s="193">
        <v>0.04</v>
      </c>
      <c r="W90" s="193">
        <v>0.04</v>
      </c>
      <c r="X90" s="193">
        <v>0.04</v>
      </c>
    </row>
    <row r="91" spans="3:24" ht="17.100000000000001" thickBot="1">
      <c r="C91" s="471" t="s">
        <v>181</v>
      </c>
      <c r="D91" s="471"/>
      <c r="E91" s="3"/>
      <c r="F91" s="3" t="s">
        <v>145</v>
      </c>
      <c r="G91" s="3" t="s">
        <v>91</v>
      </c>
      <c r="H91" s="3" t="s">
        <v>93</v>
      </c>
      <c r="I91" s="3" t="s">
        <v>94</v>
      </c>
      <c r="K91" s="471" t="s">
        <v>182</v>
      </c>
      <c r="L91" s="471"/>
      <c r="M91" s="3" t="s">
        <v>91</v>
      </c>
      <c r="N91" s="3" t="s">
        <v>93</v>
      </c>
      <c r="O91" s="3" t="s">
        <v>94</v>
      </c>
      <c r="R91" s="189" t="s">
        <v>124</v>
      </c>
      <c r="S91" s="108"/>
      <c r="T91" s="108"/>
      <c r="U91" s="190"/>
      <c r="V91" s="193">
        <v>0.05</v>
      </c>
      <c r="W91" s="193">
        <v>0.05</v>
      </c>
      <c r="X91" s="193">
        <v>0.05</v>
      </c>
    </row>
    <row r="92" spans="3:24">
      <c r="C92" s="4" t="s">
        <v>183</v>
      </c>
      <c r="D92" s="2"/>
      <c r="K92" s="4" t="s">
        <v>183</v>
      </c>
      <c r="R92" s="189" t="s">
        <v>18</v>
      </c>
      <c r="S92" s="108"/>
      <c r="T92" s="108"/>
      <c r="U92" s="190"/>
      <c r="V92" s="193">
        <v>7.0000000000000007E-2</v>
      </c>
      <c r="W92" s="193">
        <v>7.0000000000000007E-2</v>
      </c>
      <c r="X92" s="193">
        <v>7.0000000000000007E-2</v>
      </c>
    </row>
    <row r="93" spans="3:24">
      <c r="C93" s="6" t="s">
        <v>167</v>
      </c>
      <c r="D93" s="2"/>
      <c r="G93" s="218">
        <v>40000</v>
      </c>
      <c r="H93" s="218">
        <v>80000</v>
      </c>
      <c r="I93" s="218">
        <v>40000</v>
      </c>
      <c r="K93" s="6" t="s">
        <v>167</v>
      </c>
      <c r="M93" s="91">
        <f>G93</f>
        <v>40000</v>
      </c>
      <c r="N93" s="91">
        <f t="shared" ref="N93" si="48">H93</f>
        <v>80000</v>
      </c>
      <c r="O93" s="91">
        <f t="shared" ref="O93" si="49">I93</f>
        <v>40000</v>
      </c>
      <c r="R93" s="189" t="s">
        <v>135</v>
      </c>
      <c r="S93" s="108"/>
      <c r="T93" s="108"/>
      <c r="U93" s="190"/>
      <c r="V93" s="193">
        <v>0.06</v>
      </c>
      <c r="W93" s="193">
        <v>0.06</v>
      </c>
      <c r="X93" s="193">
        <v>0.06</v>
      </c>
    </row>
    <row r="94" spans="3:24">
      <c r="C94" s="6" t="s">
        <v>116</v>
      </c>
      <c r="D94" s="2"/>
      <c r="G94" s="144">
        <v>20</v>
      </c>
      <c r="H94" s="147">
        <f>G94*(1+$V$60/$V$61)^(YEAR($F$5)-YEAR($F$4))</f>
        <v>21.355555555555558</v>
      </c>
      <c r="I94" s="147">
        <f>H94*(1+$V$60/$V$61)^(YEAR($F$6)-YEAR($F$5))</f>
        <v>22.802987654320994</v>
      </c>
      <c r="K94" s="6" t="s">
        <v>169</v>
      </c>
      <c r="M94" s="218">
        <v>60000</v>
      </c>
      <c r="N94" s="218">
        <v>60000</v>
      </c>
      <c r="O94" s="218">
        <v>60000</v>
      </c>
      <c r="R94" s="130" t="s">
        <v>184</v>
      </c>
      <c r="S94" s="130"/>
      <c r="T94" s="130"/>
      <c r="V94" s="193">
        <v>0.02</v>
      </c>
      <c r="W94" s="193">
        <v>0.02</v>
      </c>
      <c r="X94" s="193">
        <v>0.02</v>
      </c>
    </row>
    <row r="95" spans="3:24">
      <c r="C95" s="6" t="s">
        <v>171</v>
      </c>
      <c r="D95" s="2"/>
      <c r="G95" s="147">
        <f>G94*G93</f>
        <v>800000</v>
      </c>
      <c r="H95" s="147">
        <f t="shared" ref="H95:I95" si="50">H94*H93</f>
        <v>1708444.4444444447</v>
      </c>
      <c r="I95" s="147">
        <f t="shared" si="50"/>
        <v>912119.50617283978</v>
      </c>
      <c r="K95" s="6" t="s">
        <v>142</v>
      </c>
      <c r="M95" s="54">
        <f>M93/M94*12</f>
        <v>8</v>
      </c>
      <c r="N95" s="54">
        <f t="shared" ref="N95" si="51">N93/N94*12</f>
        <v>16</v>
      </c>
      <c r="O95" s="54">
        <f t="shared" ref="O95" si="52">O93/O94*12</f>
        <v>8</v>
      </c>
      <c r="R95" s="189"/>
      <c r="S95" s="130"/>
      <c r="T95" s="130"/>
      <c r="U95" s="190"/>
      <c r="V95" s="191"/>
      <c r="W95" s="191"/>
      <c r="X95" s="191"/>
    </row>
    <row r="96" spans="3:24">
      <c r="C96" s="11" t="s">
        <v>185</v>
      </c>
      <c r="D96" s="12"/>
      <c r="E96" s="151"/>
      <c r="F96" s="151"/>
      <c r="G96" s="152">
        <f>G95</f>
        <v>800000</v>
      </c>
      <c r="H96" s="152">
        <f t="shared" ref="H96:I96" si="53">H95</f>
        <v>1708444.4444444447</v>
      </c>
      <c r="I96" s="152">
        <f t="shared" si="53"/>
        <v>912119.50617283978</v>
      </c>
      <c r="K96" s="106" t="s">
        <v>88</v>
      </c>
      <c r="L96" s="226"/>
      <c r="M96" s="232">
        <f>F4</f>
        <v>46387</v>
      </c>
      <c r="N96" s="232">
        <f>F5</f>
        <v>47118</v>
      </c>
      <c r="O96" s="232">
        <f>F6</f>
        <v>47848</v>
      </c>
      <c r="S96" s="130"/>
      <c r="T96" s="130"/>
      <c r="U96" s="190"/>
      <c r="V96" s="191"/>
      <c r="W96" s="191"/>
      <c r="X96" s="191"/>
    </row>
    <row r="97" spans="3:24" ht="17.100000000000001" thickBot="1">
      <c r="C97" s="14" t="s">
        <v>129</v>
      </c>
      <c r="D97" s="10"/>
      <c r="G97" s="91">
        <f>G93</f>
        <v>40000</v>
      </c>
      <c r="H97" s="91">
        <f t="shared" ref="H97:I97" si="54">H93</f>
        <v>80000</v>
      </c>
      <c r="I97" s="91">
        <f t="shared" si="54"/>
        <v>40000</v>
      </c>
      <c r="K97" s="4" t="s">
        <v>142</v>
      </c>
      <c r="M97" s="54">
        <f>M95</f>
        <v>8</v>
      </c>
      <c r="N97" s="54">
        <f t="shared" ref="N97:O97" si="55">N95</f>
        <v>16</v>
      </c>
      <c r="O97" s="54">
        <f t="shared" si="55"/>
        <v>8</v>
      </c>
      <c r="R97" s="187" t="s">
        <v>32</v>
      </c>
      <c r="S97" s="187"/>
      <c r="T97" s="187"/>
      <c r="U97" s="187"/>
      <c r="V97" s="187" t="s">
        <v>91</v>
      </c>
      <c r="W97" s="187" t="s">
        <v>93</v>
      </c>
      <c r="X97" s="187" t="s">
        <v>94</v>
      </c>
    </row>
    <row r="98" spans="3:24">
      <c r="C98" s="18" t="s">
        <v>133</v>
      </c>
      <c r="D98" s="19"/>
      <c r="E98" s="216"/>
      <c r="F98" s="216"/>
      <c r="G98" s="217">
        <f>G96/G97</f>
        <v>20</v>
      </c>
      <c r="H98" s="217">
        <f t="shared" ref="H98:I98" si="56">H96/H97</f>
        <v>21.355555555555558</v>
      </c>
      <c r="I98" s="217">
        <f t="shared" si="56"/>
        <v>22.802987654320994</v>
      </c>
      <c r="K98" s="233" t="s">
        <v>89</v>
      </c>
      <c r="L98" s="216"/>
      <c r="M98" s="234">
        <f>EOMONTH(M96,M97)</f>
        <v>46630</v>
      </c>
      <c r="N98" s="234">
        <f t="shared" ref="N98" si="57">EOMONTH(N96,N97)</f>
        <v>47603</v>
      </c>
      <c r="O98" s="234">
        <f t="shared" ref="O98" si="58">EOMONTH(O96,O97)</f>
        <v>48091</v>
      </c>
      <c r="R98" s="188" t="s">
        <v>65</v>
      </c>
      <c r="S98" s="108"/>
      <c r="T98" s="108"/>
      <c r="U98" s="108"/>
      <c r="V98" s="108"/>
      <c r="W98" s="108"/>
      <c r="X98" s="108"/>
    </row>
    <row r="99" spans="3:24">
      <c r="R99" s="6" t="s">
        <v>186</v>
      </c>
      <c r="V99" s="53">
        <v>0.65</v>
      </c>
      <c r="W99" s="53">
        <v>0.65</v>
      </c>
      <c r="X99" s="53">
        <v>0.65</v>
      </c>
    </row>
    <row r="100" spans="3:24">
      <c r="R100" s="6" t="s">
        <v>187</v>
      </c>
      <c r="V100" s="169">
        <v>0.04</v>
      </c>
      <c r="W100" s="169">
        <v>0.04</v>
      </c>
      <c r="X100" s="169">
        <v>0.04</v>
      </c>
    </row>
    <row r="101" spans="3:24" ht="17.100000000000001" thickBot="1">
      <c r="C101" s="22" t="s">
        <v>188</v>
      </c>
      <c r="D101" s="22"/>
      <c r="E101" s="3"/>
      <c r="F101" s="3"/>
      <c r="G101" s="3" t="s">
        <v>91</v>
      </c>
      <c r="H101" s="3" t="s">
        <v>93</v>
      </c>
      <c r="I101" s="3" t="s">
        <v>94</v>
      </c>
      <c r="K101" s="22" t="s">
        <v>188</v>
      </c>
      <c r="L101" s="22"/>
      <c r="M101" s="3" t="s">
        <v>91</v>
      </c>
      <c r="N101" s="3" t="s">
        <v>93</v>
      </c>
      <c r="O101" s="3" t="s">
        <v>94</v>
      </c>
      <c r="R101" s="6" t="s">
        <v>189</v>
      </c>
      <c r="V101" s="258">
        <v>30</v>
      </c>
      <c r="W101" s="258">
        <v>30</v>
      </c>
      <c r="X101" s="258">
        <v>30</v>
      </c>
    </row>
    <row r="102" spans="3:24">
      <c r="C102" s="4" t="s">
        <v>190</v>
      </c>
      <c r="D102" s="2"/>
      <c r="K102" s="4" t="s">
        <v>10</v>
      </c>
      <c r="R102" s="6" t="s">
        <v>191</v>
      </c>
      <c r="V102" s="169">
        <v>1.4999999999999999E-2</v>
      </c>
      <c r="W102" s="169">
        <v>1.4999999999999999E-2</v>
      </c>
      <c r="X102" s="169">
        <v>1.4999999999999999E-2</v>
      </c>
    </row>
    <row r="103" spans="3:24">
      <c r="C103" s="6" t="s">
        <v>139</v>
      </c>
      <c r="D103" s="2"/>
      <c r="G103" s="54">
        <f>G105/G104</f>
        <v>250</v>
      </c>
      <c r="H103" s="54">
        <f>H105/H104</f>
        <v>375</v>
      </c>
      <c r="I103" s="23">
        <v>0</v>
      </c>
      <c r="K103" s="6" t="s">
        <v>167</v>
      </c>
      <c r="M103" s="91">
        <f>G115</f>
        <v>200000</v>
      </c>
      <c r="N103" s="91">
        <f t="shared" ref="N103:O103" si="59">H115</f>
        <v>300000</v>
      </c>
      <c r="O103" s="91">
        <f t="shared" si="59"/>
        <v>0</v>
      </c>
      <c r="R103" s="6" t="s">
        <v>192</v>
      </c>
      <c r="V103" s="53">
        <v>0.6</v>
      </c>
      <c r="W103" s="53">
        <v>0.6</v>
      </c>
      <c r="X103" s="53">
        <v>0.6</v>
      </c>
    </row>
    <row r="104" spans="3:24">
      <c r="C104" s="6" t="s">
        <v>193</v>
      </c>
      <c r="D104" s="2"/>
      <c r="G104" s="80">
        <v>400</v>
      </c>
      <c r="H104" s="80">
        <v>400</v>
      </c>
      <c r="I104" s="80">
        <v>400</v>
      </c>
      <c r="K104" s="6" t="s">
        <v>169</v>
      </c>
      <c r="M104" s="218">
        <v>200000</v>
      </c>
      <c r="N104" s="218">
        <v>300000</v>
      </c>
      <c r="O104" s="218">
        <v>0</v>
      </c>
      <c r="R104" s="76" t="s">
        <v>194</v>
      </c>
    </row>
    <row r="105" spans="3:24">
      <c r="C105" s="6" t="s">
        <v>167</v>
      </c>
      <c r="D105" s="2"/>
      <c r="G105" s="218">
        <v>100000</v>
      </c>
      <c r="H105" s="218">
        <v>150000</v>
      </c>
      <c r="I105" s="218">
        <f t="shared" ref="I105" si="60">I104*I103</f>
        <v>0</v>
      </c>
      <c r="K105" s="18" t="s">
        <v>142</v>
      </c>
      <c r="L105" s="216"/>
      <c r="M105" s="313">
        <f>M103/M104*12</f>
        <v>12</v>
      </c>
      <c r="N105" s="313">
        <f t="shared" ref="N105" si="61">N103/N104*12</f>
        <v>12</v>
      </c>
      <c r="O105" s="313">
        <v>0</v>
      </c>
      <c r="R105" s="6" t="s">
        <v>191</v>
      </c>
      <c r="V105" s="169">
        <v>1.4999999999999999E-2</v>
      </c>
      <c r="W105" s="169">
        <v>1.4999999999999999E-2</v>
      </c>
      <c r="X105" s="169">
        <v>1.4999999999999999E-2</v>
      </c>
    </row>
    <row r="106" spans="3:24">
      <c r="C106" s="6"/>
      <c r="D106" s="2"/>
      <c r="K106" s="4" t="s">
        <v>88</v>
      </c>
      <c r="M106" s="77">
        <f>F4</f>
        <v>46387</v>
      </c>
      <c r="N106" s="77">
        <f>N96</f>
        <v>47118</v>
      </c>
      <c r="O106" s="77">
        <f>O96</f>
        <v>47848</v>
      </c>
      <c r="R106" s="76" t="s">
        <v>74</v>
      </c>
    </row>
    <row r="107" spans="3:24">
      <c r="C107" s="6" t="s">
        <v>195</v>
      </c>
      <c r="D107" s="2"/>
      <c r="F107" s="144">
        <v>150</v>
      </c>
      <c r="G107" s="147">
        <f ca="1">F107*(1+$V$65)^(YEAR($F$4)-YEAR(TODAY()))</f>
        <v>168.82632149999998</v>
      </c>
      <c r="H107" s="147">
        <f ca="1">G107*(1+$W$73)^(YEAR($F$5)-YEAR($F$4))</f>
        <v>179.10784447934998</v>
      </c>
      <c r="I107" s="147">
        <f ca="1">H107*(1+$X$65)^(YEAR($F$6)-YEAR($F$5))</f>
        <v>190.01551220814238</v>
      </c>
      <c r="K107" s="4" t="s">
        <v>142</v>
      </c>
      <c r="M107" s="23">
        <f>M105</f>
        <v>12</v>
      </c>
      <c r="N107" s="23">
        <f t="shared" ref="N107:O107" si="62">N105</f>
        <v>12</v>
      </c>
      <c r="O107" s="23">
        <f t="shared" si="62"/>
        <v>0</v>
      </c>
      <c r="R107" s="1" t="s">
        <v>196</v>
      </c>
      <c r="V107" s="147">
        <f ca="1">(Budget!E23+Budget!E24)*(1+Budget!D36)</f>
        <v>58866398.431372561</v>
      </c>
      <c r="W107" s="147">
        <f ca="1">(Budget!F23+Budget!F24)*(1+Budget!D36)</f>
        <v>65586567.267000005</v>
      </c>
      <c r="X107" s="147">
        <f ca="1">(Budget!G23+Budget!G24)*(1+Budget!D36)</f>
        <v>43538856.408485092</v>
      </c>
    </row>
    <row r="108" spans="3:24">
      <c r="C108" s="6" t="s">
        <v>171</v>
      </c>
      <c r="D108" s="2"/>
      <c r="G108" s="147">
        <f ca="1">G107*G103*12</f>
        <v>506478.9645</v>
      </c>
      <c r="H108" s="147">
        <f t="shared" ref="H108:I108" ca="1" si="63">H107*H103*12</f>
        <v>805985.30015707493</v>
      </c>
      <c r="I108" s="147">
        <f t="shared" ca="1" si="63"/>
        <v>0</v>
      </c>
      <c r="K108" s="233" t="s">
        <v>89</v>
      </c>
      <c r="L108" s="216"/>
      <c r="M108" s="234">
        <f>EOMONTH(M106,M107)</f>
        <v>46752</v>
      </c>
      <c r="N108" s="234">
        <f t="shared" ref="N108:O108" si="64">EOMONTH(N106,N107)</f>
        <v>47483</v>
      </c>
      <c r="O108" s="234">
        <f t="shared" si="64"/>
        <v>47848</v>
      </c>
      <c r="R108" s="1" t="s">
        <v>197</v>
      </c>
      <c r="U108" s="53">
        <v>0.09</v>
      </c>
      <c r="V108" s="51">
        <f>U108</f>
        <v>0.09</v>
      </c>
      <c r="W108" s="51">
        <f>U108</f>
        <v>0.09</v>
      </c>
      <c r="X108" s="51">
        <f>U108</f>
        <v>0.09</v>
      </c>
    </row>
    <row r="109" spans="3:24">
      <c r="C109" s="4" t="s">
        <v>198</v>
      </c>
      <c r="D109" s="2"/>
      <c r="R109" s="1" t="s">
        <v>199</v>
      </c>
      <c r="U109" s="53">
        <v>0.3</v>
      </c>
      <c r="V109" s="51">
        <f>U109</f>
        <v>0.3</v>
      </c>
      <c r="W109" s="51">
        <f>U109</f>
        <v>0.3</v>
      </c>
      <c r="X109" s="51">
        <f>U109</f>
        <v>0.3</v>
      </c>
    </row>
    <row r="110" spans="3:24">
      <c r="C110" s="6" t="s">
        <v>139</v>
      </c>
      <c r="D110" s="2"/>
      <c r="G110" s="54">
        <f>G112/G111</f>
        <v>250</v>
      </c>
      <c r="H110" s="54">
        <f t="shared" ref="H110:I110" si="65">H112/H111</f>
        <v>375</v>
      </c>
      <c r="I110" s="54">
        <f t="shared" si="65"/>
        <v>0</v>
      </c>
      <c r="R110" s="1" t="s">
        <v>200</v>
      </c>
      <c r="V110" s="147">
        <f ca="1">(V107*V108+V107*V108*V109)*10</f>
        <v>68873686.164705887</v>
      </c>
      <c r="W110" s="147">
        <f t="shared" ref="W110:X110" ca="1" si="66">(W107*W108+W107*W108*W109)*10</f>
        <v>76736283.702390015</v>
      </c>
      <c r="X110" s="147">
        <f t="shared" ca="1" si="66"/>
        <v>50940461.997927561</v>
      </c>
    </row>
    <row r="111" spans="3:24">
      <c r="C111" s="6" t="s">
        <v>193</v>
      </c>
      <c r="D111" s="2"/>
      <c r="G111" s="80">
        <v>400</v>
      </c>
      <c r="H111" s="80">
        <v>400</v>
      </c>
      <c r="I111" s="80">
        <v>400</v>
      </c>
      <c r="R111" s="1" t="s">
        <v>201</v>
      </c>
      <c r="U111" s="142">
        <v>0.9</v>
      </c>
      <c r="V111" s="138">
        <f>U111</f>
        <v>0.9</v>
      </c>
      <c r="W111" s="138">
        <f>U111</f>
        <v>0.9</v>
      </c>
      <c r="X111" s="138">
        <f>U111</f>
        <v>0.9</v>
      </c>
    </row>
    <row r="112" spans="3:24">
      <c r="C112" s="6" t="s">
        <v>167</v>
      </c>
      <c r="D112" s="2"/>
      <c r="G112" s="218">
        <v>100000</v>
      </c>
      <c r="H112" s="218">
        <v>150000</v>
      </c>
      <c r="I112" s="218">
        <v>0</v>
      </c>
      <c r="R112" s="76" t="s">
        <v>202</v>
      </c>
      <c r="V112" s="277">
        <v>4500000</v>
      </c>
      <c r="W112" s="277">
        <v>0</v>
      </c>
      <c r="X112" s="277">
        <v>0</v>
      </c>
    </row>
    <row r="113" spans="3:23">
      <c r="C113" s="6"/>
      <c r="D113" s="2"/>
    </row>
    <row r="114" spans="3:23">
      <c r="C114" s="11" t="s">
        <v>203</v>
      </c>
      <c r="D114" s="311"/>
      <c r="E114" s="151"/>
      <c r="F114" s="151"/>
      <c r="G114" s="152">
        <f ca="1">G108</f>
        <v>506478.9645</v>
      </c>
      <c r="H114" s="152">
        <f t="shared" ref="H114:I114" ca="1" si="67">H108</f>
        <v>805985.30015707493</v>
      </c>
      <c r="I114" s="152">
        <f t="shared" ca="1" si="67"/>
        <v>0</v>
      </c>
      <c r="R114" s="76" t="s">
        <v>204</v>
      </c>
      <c r="U114" s="277">
        <v>5000000</v>
      </c>
      <c r="V114" s="277">
        <f>$U$114/2</f>
        <v>2500000</v>
      </c>
      <c r="W114" s="277">
        <f>$U$114/2</f>
        <v>2500000</v>
      </c>
    </row>
    <row r="115" spans="3:23">
      <c r="C115" s="6" t="s">
        <v>205</v>
      </c>
      <c r="D115" s="2"/>
      <c r="G115" s="91">
        <f>G112+G105</f>
        <v>200000</v>
      </c>
      <c r="H115" s="91">
        <f t="shared" ref="H115:I115" si="68">H112+H105</f>
        <v>300000</v>
      </c>
      <c r="I115" s="91">
        <f t="shared" si="68"/>
        <v>0</v>
      </c>
    </row>
    <row r="116" spans="3:23">
      <c r="C116" s="6" t="s">
        <v>139</v>
      </c>
      <c r="D116" s="2"/>
      <c r="G116" s="91">
        <f>G103+G110</f>
        <v>500</v>
      </c>
      <c r="H116" s="91">
        <f t="shared" ref="H116:I116" si="69">H103+H110</f>
        <v>750</v>
      </c>
      <c r="I116" s="91">
        <f t="shared" si="69"/>
        <v>0</v>
      </c>
    </row>
    <row r="117" spans="3:23">
      <c r="C117" s="18" t="s">
        <v>133</v>
      </c>
      <c r="D117" s="312"/>
      <c r="E117" s="216"/>
      <c r="F117" s="216"/>
      <c r="G117" s="217">
        <f ca="1">G107</f>
        <v>168.82632149999998</v>
      </c>
      <c r="H117" s="217">
        <f t="shared" ref="H117:I117" ca="1" si="70">H107</f>
        <v>179.10784447934998</v>
      </c>
      <c r="I117" s="217">
        <f t="shared" ca="1" si="70"/>
        <v>190.01551220814238</v>
      </c>
    </row>
    <row r="118" spans="3:23">
      <c r="C118" s="6"/>
      <c r="D118" s="2"/>
    </row>
    <row r="119" spans="3:23">
      <c r="C119" s="6"/>
      <c r="D119" s="2"/>
    </row>
    <row r="120" spans="3:23">
      <c r="C120" s="6"/>
      <c r="D120" s="2"/>
    </row>
    <row r="121" spans="3:23">
      <c r="C121" s="6"/>
      <c r="D121" s="2"/>
    </row>
    <row r="122" spans="3:23">
      <c r="C122" s="6"/>
      <c r="D122" s="2"/>
    </row>
    <row r="123" spans="3:23">
      <c r="D123" s="10"/>
    </row>
    <row r="124" spans="3:23">
      <c r="D124" s="10"/>
    </row>
    <row r="125" spans="3:23">
      <c r="D125" s="10"/>
    </row>
    <row r="126" spans="3:23">
      <c r="D126" s="10"/>
    </row>
  </sheetData>
  <mergeCells count="12">
    <mergeCell ref="AA8:AA10"/>
    <mergeCell ref="R4:V4"/>
    <mergeCell ref="C73:D73"/>
    <mergeCell ref="G8:I8"/>
    <mergeCell ref="J8:L8"/>
    <mergeCell ref="M8:O8"/>
    <mergeCell ref="C91:D91"/>
    <mergeCell ref="K73:L73"/>
    <mergeCell ref="K91:L91"/>
    <mergeCell ref="AA11:AA15"/>
    <mergeCell ref="AA16:AA21"/>
    <mergeCell ref="R87:S87"/>
  </mergeCells>
  <pageMargins left="0.7" right="0.7" top="0.75" bottom="0.75" header="0.3" footer="0.3"/>
  <pageSetup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05DC9-840A-004E-BD50-62411A334C5F}">
  <sheetPr>
    <tabColor rgb="FF00B0F0"/>
  </sheetPr>
  <dimension ref="A1:K34"/>
  <sheetViews>
    <sheetView zoomScale="125" workbookViewId="0"/>
  </sheetViews>
  <sheetFormatPr defaultColWidth="10.875" defaultRowHeight="15.95"/>
  <cols>
    <col min="1" max="2" width="10.875" style="1"/>
    <col min="3" max="3" width="62.5" style="1" bestFit="1" customWidth="1"/>
    <col min="4" max="5" width="10.875" style="1"/>
    <col min="6" max="6" width="18" style="1" bestFit="1" customWidth="1"/>
    <col min="7" max="8" width="12.625" style="1" bestFit="1" customWidth="1"/>
    <col min="9" max="9" width="18" style="1" bestFit="1" customWidth="1"/>
    <col min="10" max="10" width="10.875" style="1"/>
    <col min="11" max="11" width="14.375" style="1" bestFit="1" customWidth="1"/>
    <col min="12" max="16384" width="10.875" style="1"/>
  </cols>
  <sheetData>
    <row r="1" spans="1:10">
      <c r="A1" s="76" t="s">
        <v>206</v>
      </c>
    </row>
    <row r="2" spans="1:10">
      <c r="C2" s="124" t="s">
        <v>207</v>
      </c>
      <c r="D2" s="23" t="s">
        <v>208</v>
      </c>
      <c r="E2" s="23"/>
      <c r="F2" s="55" t="s">
        <v>91</v>
      </c>
      <c r="G2" s="55" t="s">
        <v>93</v>
      </c>
      <c r="H2" s="55" t="s">
        <v>94</v>
      </c>
      <c r="I2" s="55" t="s">
        <v>54</v>
      </c>
      <c r="J2" s="55" t="s">
        <v>209</v>
      </c>
    </row>
    <row r="3" spans="1:10">
      <c r="C3" s="123" t="s">
        <v>210</v>
      </c>
      <c r="F3" s="147">
        <f ca="1">F24-SUM(F4:F12)</f>
        <v>40497008.290518522</v>
      </c>
      <c r="G3" s="147">
        <f ca="1">G24-SUM(G4:G12)</f>
        <v>65426851.301104486</v>
      </c>
      <c r="H3" s="147">
        <f ca="1">H24-SUM(H4:H12)</f>
        <v>45298657.54457438</v>
      </c>
      <c r="I3" s="147">
        <f ca="1">SUM(F3:H3)</f>
        <v>151222517.13619739</v>
      </c>
      <c r="J3" s="85">
        <f ca="1">I3/$I$14</f>
        <v>0.12059013880585354</v>
      </c>
    </row>
    <row r="4" spans="1:10">
      <c r="C4" s="123" t="s">
        <v>81</v>
      </c>
      <c r="F4" s="147">
        <f ca="1">'Public and Infrastructure'!F72</f>
        <v>23115787.925333332</v>
      </c>
      <c r="G4" s="147">
        <f ca="1">'Public and Infrastructure'!G72</f>
        <v>6370499.0249999994</v>
      </c>
      <c r="H4" s="147">
        <f ca="1">'Public and Infrastructure'!H72</f>
        <v>6202313.3740976304</v>
      </c>
      <c r="I4" s="147">
        <f ca="1">SUM(F4:H4)</f>
        <v>35688600.324430957</v>
      </c>
      <c r="J4" s="85">
        <f t="shared" ref="J4:J14" ca="1" si="0">I4/$I$14</f>
        <v>2.8459341561109384E-2</v>
      </c>
    </row>
    <row r="5" spans="1:10">
      <c r="C5" s="123" t="s">
        <v>83</v>
      </c>
      <c r="F5" s="147">
        <f ca="1">'Public and Infrastructure'!F74</f>
        <v>4905375</v>
      </c>
      <c r="G5" s="147">
        <f ca="1">'Public and Infrastructure'!G74</f>
        <v>3295250.6124999998</v>
      </c>
      <c r="H5" s="147">
        <f ca="1">'Public and Infrastructure'!H74</f>
        <v>1304183.3335874998</v>
      </c>
      <c r="I5" s="147">
        <f ca="1">SUM(F5:H5)</f>
        <v>9504808.9460875001</v>
      </c>
      <c r="J5" s="85">
        <f t="shared" ca="1" si="0"/>
        <v>7.579468004090332E-3</v>
      </c>
    </row>
    <row r="6" spans="1:10">
      <c r="C6" s="123" t="s">
        <v>211</v>
      </c>
      <c r="F6" s="147">
        <f ca="1">Assumptions!V110*Assumptions!V111</f>
        <v>61986317.548235297</v>
      </c>
      <c r="G6" s="147">
        <f ca="1">Assumptions!W110*Assumptions!W111</f>
        <v>69062655.332151011</v>
      </c>
      <c r="H6" s="147">
        <f ca="1">Assumptions!X110*Assumptions!X111</f>
        <v>45846415.798134804</v>
      </c>
      <c r="I6" s="147">
        <f ca="1">SUM(F6:H6)</f>
        <v>176895388.6785211</v>
      </c>
      <c r="J6" s="85">
        <f t="shared" ca="1" si="0"/>
        <v>0.1410625869667671</v>
      </c>
    </row>
    <row r="7" spans="1:10">
      <c r="C7" s="123"/>
      <c r="F7" s="147">
        <f>Assumptions!V115</f>
        <v>0</v>
      </c>
      <c r="G7" s="147">
        <f>Assumptions!W115</f>
        <v>0</v>
      </c>
      <c r="H7" s="147">
        <f>Assumptions!X115</f>
        <v>0</v>
      </c>
      <c r="I7" s="147">
        <f>SUM(F7:H7)</f>
        <v>0</v>
      </c>
      <c r="J7" s="85"/>
    </row>
    <row r="8" spans="1:10">
      <c r="C8" s="123" t="s">
        <v>78</v>
      </c>
      <c r="F8" s="147">
        <f>Assumptions!V114</f>
        <v>2500000</v>
      </c>
      <c r="G8" s="147">
        <f>Assumptions!W114</f>
        <v>2500000</v>
      </c>
      <c r="H8" s="147">
        <f>Assumptions!X114</f>
        <v>0</v>
      </c>
      <c r="I8" s="147">
        <f>SUM(F8:H8)</f>
        <v>5000000</v>
      </c>
      <c r="J8" s="85">
        <f ca="1">I8/$I$14</f>
        <v>3.9871753588536342E-3</v>
      </c>
    </row>
    <row r="9" spans="1:10">
      <c r="C9" s="123"/>
      <c r="F9" s="147"/>
      <c r="G9" s="147"/>
      <c r="H9" s="147"/>
      <c r="I9" s="147">
        <f>SUM(F9:H9)</f>
        <v>0</v>
      </c>
      <c r="J9" s="85"/>
    </row>
    <row r="10" spans="1:10">
      <c r="C10" s="123" t="s">
        <v>79</v>
      </c>
      <c r="F10" s="147">
        <f>Assumptions!V112</f>
        <v>4500000</v>
      </c>
      <c r="G10" s="147">
        <f>Assumptions!W112</f>
        <v>0</v>
      </c>
      <c r="H10" s="147">
        <f>Assumptions!X112</f>
        <v>0</v>
      </c>
      <c r="I10" s="147">
        <f>SUM(F10:H10)</f>
        <v>4500000</v>
      </c>
      <c r="J10" s="85">
        <f t="shared" ca="1" si="0"/>
        <v>3.5884578229682705E-3</v>
      </c>
    </row>
    <row r="11" spans="1:10">
      <c r="C11" s="130" t="s">
        <v>212</v>
      </c>
      <c r="F11" s="147">
        <f ca="1">Assumptions!V$99*Budget!E$56</f>
        <v>285316669.35000986</v>
      </c>
      <c r="G11" s="147">
        <f ca="1">Assumptions!W$99*Budget!F$56</f>
        <v>317025351.92506778</v>
      </c>
      <c r="H11" s="147">
        <f ca="1">Assumptions!X$99*Budget!G$56</f>
        <v>212771362.88628966</v>
      </c>
      <c r="I11" s="147">
        <f ca="1">SUM(F11:H11)</f>
        <v>815113384.16136718</v>
      </c>
      <c r="J11" s="85">
        <f t="shared" ca="1" si="0"/>
        <v>0.64999999999999991</v>
      </c>
    </row>
    <row r="12" spans="1:10">
      <c r="C12" s="123" t="s">
        <v>76</v>
      </c>
      <c r="F12" s="147">
        <f ca="1">NPV(TIF!$D$6,TIF!$C$17:$P$17)*TIF!$D$5</f>
        <v>16127563.962841302</v>
      </c>
      <c r="G12" s="147">
        <f ca="1">NPV(TIF!$D$6,TIF!$C$26:$P$26)*TIF!$D$5</f>
        <v>24050702.458127178</v>
      </c>
      <c r="H12" s="147">
        <f ca="1">NPV(TIF!$D$6,TIF!$C$35:$P$35)*TIF!$D$5</f>
        <v>15917625.349915482</v>
      </c>
      <c r="I12" s="147">
        <f ca="1">SUM(F12:H12)</f>
        <v>56095891.770883963</v>
      </c>
      <c r="J12" s="85">
        <f t="shared" ca="1" si="0"/>
        <v>4.4732831480357775E-2</v>
      </c>
    </row>
    <row r="13" spans="1:10">
      <c r="F13" s="147"/>
      <c r="G13" s="147"/>
      <c r="H13" s="147"/>
      <c r="I13" s="147"/>
      <c r="J13" s="85"/>
    </row>
    <row r="14" spans="1:10">
      <c r="C14" s="125" t="s">
        <v>213</v>
      </c>
      <c r="F14" s="147">
        <f ca="1">SUM(F3:F13)</f>
        <v>438948722.07693827</v>
      </c>
      <c r="G14" s="147">
        <f ca="1">SUM(G3:G13)</f>
        <v>487731310.65395051</v>
      </c>
      <c r="H14" s="147">
        <f ca="1">SUM(H3:H13)</f>
        <v>327340558.28659946</v>
      </c>
      <c r="I14" s="147">
        <f ca="1">SUM(F14:H14)</f>
        <v>1254020591.0174882</v>
      </c>
      <c r="J14" s="85">
        <f t="shared" ca="1" si="0"/>
        <v>1</v>
      </c>
    </row>
    <row r="16" spans="1:10">
      <c r="C16" s="124" t="s">
        <v>214</v>
      </c>
      <c r="D16" s="23" t="s">
        <v>208</v>
      </c>
      <c r="E16" s="23"/>
      <c r="F16" s="55" t="s">
        <v>91</v>
      </c>
      <c r="G16" s="55" t="s">
        <v>93</v>
      </c>
      <c r="H16" s="55" t="s">
        <v>94</v>
      </c>
      <c r="I16" s="55" t="s">
        <v>54</v>
      </c>
      <c r="J16" s="55" t="s">
        <v>209</v>
      </c>
    </row>
    <row r="17" spans="3:11">
      <c r="C17" s="123" t="s">
        <v>215</v>
      </c>
      <c r="F17" s="147">
        <f>Budget!E8</f>
        <v>56664292</v>
      </c>
      <c r="G17" s="147">
        <f>Budget!F8</f>
        <v>17964902</v>
      </c>
      <c r="H17" s="147">
        <f>Budget!G8</f>
        <v>25430473</v>
      </c>
      <c r="I17" s="147">
        <f>SUM(F17:H17)</f>
        <v>100059667</v>
      </c>
      <c r="J17" s="85">
        <f ca="1">I17/$I$24</f>
        <v>7.9791087735500033E-2</v>
      </c>
    </row>
    <row r="18" spans="3:11">
      <c r="C18" s="123" t="s">
        <v>66</v>
      </c>
      <c r="F18" s="147">
        <f ca="1">Budget!E19</f>
        <v>21617037.449999999</v>
      </c>
      <c r="G18" s="147">
        <f ca="1">Budget!F19</f>
        <v>14738062.530705001</v>
      </c>
      <c r="H18" s="147">
        <f ca="1">Budget!G19</f>
        <v>6202313.3740976304</v>
      </c>
      <c r="I18" s="147">
        <f t="shared" ref="I18:I24" ca="1" si="1">SUM(F18:H18)</f>
        <v>42557413.354802631</v>
      </c>
      <c r="J18" s="85">
        <f t="shared" ref="J18:J23" ca="1" si="2">I18/$I$24</f>
        <v>3.3936773972963526E-2</v>
      </c>
    </row>
    <row r="19" spans="3:11">
      <c r="C19" s="123" t="s">
        <v>17</v>
      </c>
      <c r="F19" s="147">
        <f ca="1">Budget!E33</f>
        <v>255568696.9583196</v>
      </c>
      <c r="G19" s="147">
        <f ca="1">Budget!F33</f>
        <v>328159886.33629644</v>
      </c>
      <c r="H19" s="147">
        <f ca="1">Budget!G33</f>
        <v>213461281.96719182</v>
      </c>
      <c r="I19" s="147">
        <f t="shared" ca="1" si="1"/>
        <v>797189865.2618078</v>
      </c>
      <c r="J19" s="85">
        <f t="shared" ca="1" si="2"/>
        <v>0.63570715741994577</v>
      </c>
      <c r="K19" s="132"/>
    </row>
    <row r="20" spans="3:11">
      <c r="C20" s="123" t="s">
        <v>19</v>
      </c>
      <c r="F20" s="147">
        <f ca="1">Budget!E37</f>
        <v>69296433.602079898</v>
      </c>
      <c r="G20" s="147">
        <f ca="1">Budget!F37</f>
        <v>85724487.216750354</v>
      </c>
      <c r="H20" s="147">
        <f ca="1">Budget!G37</f>
        <v>54915898.835322365</v>
      </c>
      <c r="I20" s="147">
        <f t="shared" ca="1" si="1"/>
        <v>209936819.65415263</v>
      </c>
      <c r="J20" s="85">
        <f t="shared" ca="1" si="2"/>
        <v>0.16741098284822734</v>
      </c>
    </row>
    <row r="21" spans="3:11">
      <c r="C21" s="123" t="s">
        <v>33</v>
      </c>
      <c r="F21" s="147">
        <f ca="1">Budget!E44</f>
        <v>25064463.692893479</v>
      </c>
      <c r="G21" s="147">
        <f ca="1">Budget!F44</f>
        <v>27941966.154352807</v>
      </c>
      <c r="H21" s="147">
        <f ca="1">Budget!G44</f>
        <v>18749872.951355934</v>
      </c>
      <c r="I21" s="147">
        <f t="shared" ca="1" si="1"/>
        <v>71756302.798602223</v>
      </c>
      <c r="J21" s="85">
        <f t="shared" ca="1" si="2"/>
        <v>5.722099247220537E-2</v>
      </c>
    </row>
    <row r="22" spans="3:11">
      <c r="C22" s="123" t="s">
        <v>22</v>
      </c>
      <c r="F22" s="147">
        <f>Budget!E49</f>
        <v>333333.33333333331</v>
      </c>
      <c r="G22" s="147">
        <f>Budget!F49</f>
        <v>333333.33333333331</v>
      </c>
      <c r="H22" s="147">
        <f>Budget!G49</f>
        <v>333333.33333333331</v>
      </c>
      <c r="I22" s="147">
        <f t="shared" si="1"/>
        <v>1000000</v>
      </c>
      <c r="J22" s="85">
        <f t="shared" ca="1" si="2"/>
        <v>7.9743507177072682E-4</v>
      </c>
    </row>
    <row r="23" spans="3:11" ht="17.100000000000001" thickBot="1">
      <c r="C23" s="275" t="s">
        <v>216</v>
      </c>
      <c r="D23" s="276"/>
      <c r="E23" s="276"/>
      <c r="F23" s="176">
        <f ca="1">Budget!E53</f>
        <v>10404465.040311985</v>
      </c>
      <c r="G23" s="176">
        <f ca="1">Budget!F53</f>
        <v>12868673.082512554</v>
      </c>
      <c r="H23" s="176">
        <f ca="1">Budget!G53</f>
        <v>8247384.825298354</v>
      </c>
      <c r="I23" s="176">
        <f t="shared" ca="1" si="1"/>
        <v>31520522.948122893</v>
      </c>
      <c r="J23" s="85">
        <f t="shared" ca="1" si="2"/>
        <v>2.513557047938722E-2</v>
      </c>
    </row>
    <row r="24" spans="3:11">
      <c r="C24" s="124" t="s">
        <v>217</v>
      </c>
      <c r="F24" s="147">
        <f ca="1">SUM(F17:F23)</f>
        <v>438948722.07693827</v>
      </c>
      <c r="G24" s="147">
        <f t="shared" ref="G24:H24" ca="1" si="3">SUM(G17:G23)</f>
        <v>487731310.65395045</v>
      </c>
      <c r="H24" s="147">
        <f t="shared" ca="1" si="3"/>
        <v>327340558.28659946</v>
      </c>
      <c r="I24" s="147">
        <f t="shared" ca="1" si="1"/>
        <v>1254020591.0174882</v>
      </c>
    </row>
    <row r="25" spans="3:11">
      <c r="C25" s="123"/>
    </row>
    <row r="26" spans="3:11">
      <c r="C26" s="126"/>
    </row>
    <row r="27" spans="3:11">
      <c r="C27" s="129"/>
    </row>
    <row r="28" spans="3:11">
      <c r="C28" s="129"/>
    </row>
    <row r="29" spans="3:11">
      <c r="C29" s="129"/>
    </row>
    <row r="30" spans="3:11">
      <c r="C30" s="129"/>
    </row>
    <row r="31" spans="3:11">
      <c r="C31" s="129"/>
    </row>
    <row r="32" spans="3:11">
      <c r="C32" s="129"/>
    </row>
    <row r="33" spans="3:3">
      <c r="C33" s="129"/>
    </row>
    <row r="34" spans="3:3">
      <c r="C34" s="127"/>
    </row>
  </sheetData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C5C62-4357-8643-99C3-A3F7F4A55C90}">
  <sheetPr>
    <tabColor rgb="FF00B0F0"/>
  </sheetPr>
  <dimension ref="A1:V69"/>
  <sheetViews>
    <sheetView workbookViewId="0"/>
  </sheetViews>
  <sheetFormatPr defaultColWidth="10.875" defaultRowHeight="15.95"/>
  <cols>
    <col min="1" max="1" width="10.875" style="1"/>
    <col min="2" max="2" width="52.625" style="1" bestFit="1" customWidth="1"/>
    <col min="3" max="3" width="10.875" style="1"/>
    <col min="4" max="4" width="14.375" style="1" bestFit="1" customWidth="1"/>
    <col min="5" max="5" width="16.125" style="1" customWidth="1"/>
    <col min="6" max="6" width="23.5" style="1" bestFit="1" customWidth="1"/>
    <col min="7" max="7" width="14.875" style="1" customWidth="1"/>
    <col min="8" max="8" width="17.625" style="1" customWidth="1"/>
    <col min="9" max="9" width="4.875" style="1" customWidth="1"/>
    <col min="10" max="10" width="15.125" style="1" bestFit="1" customWidth="1"/>
    <col min="11" max="11" width="22.5" style="1" customWidth="1"/>
    <col min="12" max="12" width="25.375" style="1" bestFit="1" customWidth="1"/>
    <col min="13" max="13" width="17.5" style="1" customWidth="1"/>
    <col min="14" max="14" width="19.875" style="1" customWidth="1"/>
    <col min="15" max="15" width="20.625" style="1" customWidth="1"/>
    <col min="16" max="17" width="10.875" style="1"/>
    <col min="18" max="18" width="14.5" style="1" bestFit="1" customWidth="1"/>
    <col min="19" max="21" width="12.125" style="1" bestFit="1" customWidth="1"/>
    <col min="22" max="22" width="13.625" style="1" bestFit="1" customWidth="1"/>
    <col min="23" max="16384" width="10.875" style="1"/>
  </cols>
  <sheetData>
    <row r="1" spans="1:17" ht="17.100000000000001">
      <c r="A1" s="76" t="s">
        <v>206</v>
      </c>
      <c r="K1" s="321" t="s">
        <v>138</v>
      </c>
      <c r="L1" s="321" t="s">
        <v>218</v>
      </c>
      <c r="M1" s="321" t="s">
        <v>124</v>
      </c>
      <c r="N1" s="321" t="s">
        <v>18</v>
      </c>
      <c r="O1" s="321" t="s">
        <v>10</v>
      </c>
      <c r="P1" s="309"/>
    </row>
    <row r="2" spans="1:17">
      <c r="J2" s="1" t="s">
        <v>91</v>
      </c>
      <c r="K2" s="310">
        <f>Assumptions!S18/(Assumptions!S44-Assumptions!S40-Assumptions!S43)</f>
        <v>0.16318675968607571</v>
      </c>
      <c r="L2" s="310">
        <f>Assumptions!S11/(Assumptions!S44-Assumptions!S40-Assumptions!S43)</f>
        <v>0.24126057351547603</v>
      </c>
      <c r="M2" s="310">
        <f>Assumptions!S28/(Assumptions!S44-Assumptions!S40-Assumptions!S43)</f>
        <v>0.27904837418657469</v>
      </c>
      <c r="N2" s="310">
        <f>Assumptions!S33/(Assumptions!S44-Assumptions!S40-Assumptions!S43)</f>
        <v>5.9159680862032438E-2</v>
      </c>
      <c r="O2" s="310">
        <f>Assumptions!S36/(Assumptions!S44-Assumptions!S40-Assumptions!S43)</f>
        <v>0.25734461174984108</v>
      </c>
      <c r="Q2" s="207">
        <f>SUM(K2:P2)</f>
        <v>1</v>
      </c>
    </row>
    <row r="3" spans="1:17">
      <c r="J3" s="1" t="s">
        <v>93</v>
      </c>
      <c r="K3" s="310">
        <f>Assumptions!T18/(Assumptions!T44-Assumptions!T40-Assumptions!T43)</f>
        <v>0.1477909217449398</v>
      </c>
      <c r="L3" s="310">
        <f>Assumptions!T11/(Assumptions!T44-Assumptions!T40-Assumptions!T43)</f>
        <v>0.36011433173718277</v>
      </c>
      <c r="M3" s="310">
        <f>Assumptions!T28/(Assumptions!T44-Assumptions!T40-Assumptions!T43)</f>
        <v>0.11569938369066113</v>
      </c>
      <c r="N3" s="310">
        <f>Assumptions!T33/(Assumptions!T44-Assumptions!T40-Assumptions!T43)</f>
        <v>8.8303897437470094E-2</v>
      </c>
      <c r="O3" s="310">
        <f>Assumptions!T36/(Assumptions!T44-Assumptions!T40-Assumptions!T43)</f>
        <v>0.28809146538974617</v>
      </c>
      <c r="Q3" s="207">
        <f>SUM(K3:P3)</f>
        <v>1</v>
      </c>
    </row>
    <row r="4" spans="1:17">
      <c r="J4" s="1" t="s">
        <v>94</v>
      </c>
      <c r="K4" s="310">
        <f>Assumptions!U18/Assumptions!U44</f>
        <v>0.19852160305250294</v>
      </c>
      <c r="L4" s="310">
        <f>Assumptions!U11/Assumptions!U44</f>
        <v>0.48316200119865393</v>
      </c>
      <c r="M4" s="310">
        <f>Assumptions!U28/Assumptions!U44</f>
        <v>0.22353519091600377</v>
      </c>
      <c r="N4" s="310">
        <f>Assumptions!U33/Assumptions!U44</f>
        <v>9.4781204832839389E-2</v>
      </c>
      <c r="O4" s="310">
        <f>Assumptions!U36/Assumptions!U44</f>
        <v>0</v>
      </c>
      <c r="Q4" s="207">
        <f>SUM(K4:P4)</f>
        <v>1</v>
      </c>
    </row>
    <row r="7" spans="1:17" ht="17.100000000000001">
      <c r="B7" s="280" t="s">
        <v>219</v>
      </c>
      <c r="C7" s="286"/>
      <c r="D7" s="279" t="s">
        <v>208</v>
      </c>
      <c r="E7" s="279" t="s">
        <v>91</v>
      </c>
      <c r="F7" s="279" t="s">
        <v>93</v>
      </c>
      <c r="G7" s="279" t="s">
        <v>94</v>
      </c>
      <c r="H7" s="279" t="s">
        <v>54</v>
      </c>
      <c r="I7" s="328"/>
      <c r="J7" s="319"/>
      <c r="K7" s="321" t="s">
        <v>138</v>
      </c>
      <c r="L7" s="321" t="s">
        <v>218</v>
      </c>
      <c r="M7" s="321" t="s">
        <v>124</v>
      </c>
      <c r="N7" s="321" t="str">
        <f>N1</f>
        <v>Retail</v>
      </c>
      <c r="O7" s="321" t="str">
        <f t="shared" ref="O7:P7" si="0">O1</f>
        <v>Structured Parking</v>
      </c>
      <c r="P7" s="309"/>
    </row>
    <row r="8" spans="1:17">
      <c r="B8" s="123" t="s">
        <v>220</v>
      </c>
      <c r="D8" s="138">
        <f>H8/SUM(Land!I7:I27)</f>
        <v>173.07258833113951</v>
      </c>
      <c r="E8" s="147">
        <f>SUMIF(Land!$D$7:$D$27,Budget!E7,Land!$P$7:$P$27)</f>
        <v>56664292</v>
      </c>
      <c r="F8" s="147">
        <f>SUMIF(Land!$D$7:$D$27,Budget!F7,Land!$P$7:$P$27)</f>
        <v>17964902</v>
      </c>
      <c r="G8" s="147">
        <f>SUMIF(Land!$D$7:$D$27,Budget!G7,Land!$P$7:$P$27)</f>
        <v>25430473</v>
      </c>
      <c r="H8" s="147">
        <f>SUM(E8:G8)</f>
        <v>100059667</v>
      </c>
      <c r="I8" s="147"/>
      <c r="K8" s="322">
        <f>E8*K2+F8*K3+G8*K4</f>
        <v>16950409.893366527</v>
      </c>
      <c r="L8" s="322">
        <f>E8*L2+F8*L3+G8*L4</f>
        <v>32427316.490330711</v>
      </c>
      <c r="M8" s="322">
        <f>E8*M2+F8*M3+G8*M4</f>
        <v>23575212.283635736</v>
      </c>
      <c r="N8" s="322">
        <f>N2*E8+F8*N3+G8*N4</f>
        <v>7348943.1650842102</v>
      </c>
      <c r="O8" s="322">
        <f>O2*E8+F8*O3+G8*O4</f>
        <v>19757785.16758281</v>
      </c>
    </row>
    <row r="9" spans="1:17">
      <c r="B9" s="150" t="s">
        <v>221</v>
      </c>
      <c r="C9" s="151"/>
      <c r="D9" s="156">
        <f>D8</f>
        <v>173.07258833113951</v>
      </c>
      <c r="E9" s="152">
        <f t="shared" ref="E9:H9" si="1">E8</f>
        <v>56664292</v>
      </c>
      <c r="F9" s="152">
        <f t="shared" si="1"/>
        <v>17964902</v>
      </c>
      <c r="G9" s="152">
        <f t="shared" si="1"/>
        <v>25430473</v>
      </c>
      <c r="H9" s="153">
        <f t="shared" si="1"/>
        <v>100059667</v>
      </c>
      <c r="I9" s="147"/>
      <c r="K9" s="323">
        <f t="shared" ref="K9:N9" si="2">+SUM(K8:K8)</f>
        <v>16950409.893366527</v>
      </c>
      <c r="L9" s="323">
        <f t="shared" si="2"/>
        <v>32427316.490330711</v>
      </c>
      <c r="M9" s="323">
        <f t="shared" si="2"/>
        <v>23575212.283635736</v>
      </c>
      <c r="N9" s="323">
        <f t="shared" si="2"/>
        <v>7348943.1650842102</v>
      </c>
      <c r="O9" s="323">
        <f t="shared" ref="O9" si="3">+SUM(O8:O8)</f>
        <v>19757785.16758281</v>
      </c>
    </row>
    <row r="10" spans="1:17">
      <c r="B10" s="123"/>
      <c r="K10" s="324"/>
      <c r="L10" s="324"/>
      <c r="M10" s="324"/>
      <c r="N10" s="324"/>
      <c r="P10" s="160"/>
    </row>
    <row r="11" spans="1:17" ht="17.100000000000001">
      <c r="B11" s="280" t="s">
        <v>66</v>
      </c>
      <c r="C11" s="286"/>
      <c r="D11" s="279" t="s">
        <v>208</v>
      </c>
      <c r="E11" s="279" t="s">
        <v>91</v>
      </c>
      <c r="F11" s="279" t="s">
        <v>93</v>
      </c>
      <c r="G11" s="279" t="s">
        <v>94</v>
      </c>
      <c r="H11" s="279" t="s">
        <v>54</v>
      </c>
      <c r="I11" s="328"/>
      <c r="J11" s="319"/>
      <c r="K11" s="321" t="str">
        <f>K7</f>
        <v>Affordable Housing</v>
      </c>
      <c r="L11" s="321" t="str">
        <f t="shared" ref="L11:P11" si="4">L7</f>
        <v>Market Housing</v>
      </c>
      <c r="M11" s="321" t="str">
        <f t="shared" si="4"/>
        <v>Office</v>
      </c>
      <c r="N11" s="321" t="str">
        <f t="shared" si="4"/>
        <v>Retail</v>
      </c>
      <c r="O11" s="321" t="str">
        <f t="shared" si="4"/>
        <v>Structured Parking</v>
      </c>
      <c r="P11" s="309"/>
    </row>
    <row r="12" spans="1:17">
      <c r="B12" s="123" t="str">
        <f>'Public and Infrastructure'!B4</f>
        <v>Jefferson Square Park</v>
      </c>
      <c r="D12" s="141">
        <f ca="1">H12/'Public and Infrastructure'!Z4</f>
        <v>154.5</v>
      </c>
      <c r="E12" s="141">
        <f ca="1">'Public and Infrastructure'!I4</f>
        <v>8806500</v>
      </c>
      <c r="F12" s="141">
        <f ca="1">'Public and Infrastructure'!O4</f>
        <v>0</v>
      </c>
      <c r="G12" s="141">
        <f ca="1">'Public and Infrastructure'!U4</f>
        <v>0</v>
      </c>
      <c r="H12" s="141">
        <f ca="1">SUM(E12:G12)</f>
        <v>8806500</v>
      </c>
      <c r="I12" s="141"/>
      <c r="K12" s="322">
        <f ca="1">E12*$K$2+F12*$K$3+$K$4*G12</f>
        <v>1437104.1991754258</v>
      </c>
      <c r="L12" s="322">
        <f ca="1">$E12*L$2+$F12*L$3+$G12*L$4</f>
        <v>2124661.2406640397</v>
      </c>
      <c r="M12" s="322">
        <f t="shared" ref="M12:O18" ca="1" si="5">$E12*M$2+$F12*M$3+$G12*M$4</f>
        <v>2457439.5072740698</v>
      </c>
      <c r="N12" s="322">
        <f t="shared" ca="1" si="5"/>
        <v>520989.72951148864</v>
      </c>
      <c r="O12" s="322">
        <f t="shared" ca="1" si="5"/>
        <v>2266305.3233749755</v>
      </c>
      <c r="P12" s="59"/>
    </row>
    <row r="13" spans="1:17">
      <c r="B13" s="123" t="str">
        <f>'Public and Infrastructure'!B5</f>
        <v>Skate Park</v>
      </c>
      <c r="D13" s="141">
        <f ca="1">H13/'Public and Infrastructure'!Z5</f>
        <v>86.945555572499984</v>
      </c>
      <c r="E13" s="141">
        <f ca="1">'Public and Infrastructure'!I5</f>
        <v>0</v>
      </c>
      <c r="F13" s="141">
        <f ca="1">'Public and Infrastructure'!O5</f>
        <v>0</v>
      </c>
      <c r="G13" s="141">
        <f ca="1">'Public and Infrastructure'!U5</f>
        <v>5216733.3343499992</v>
      </c>
      <c r="H13" s="141">
        <f t="shared" ref="H13:H17" ca="1" si="6">SUM(E13:G13)</f>
        <v>5216733.3343499992</v>
      </c>
      <c r="I13" s="141"/>
      <c r="K13" s="322">
        <f ca="1">E13*$K$2+F13*$K$3+$K$4*G13</f>
        <v>1035634.2642325907</v>
      </c>
      <c r="L13" s="322">
        <f t="shared" ref="L13:L18" ca="1" si="7">$E13*L$2+$F13*L$3+$G13*L$4</f>
        <v>2520527.3175442722</v>
      </c>
      <c r="M13" s="322">
        <f t="shared" ca="1" si="5"/>
        <v>1166123.481851808</v>
      </c>
      <c r="N13" s="322">
        <f t="shared" ca="1" si="5"/>
        <v>494448.2707213285</v>
      </c>
      <c r="O13" s="322">
        <f t="shared" ca="1" si="5"/>
        <v>0</v>
      </c>
      <c r="P13" s="59"/>
    </row>
    <row r="14" spans="1:17">
      <c r="B14" s="123" t="str">
        <f>'Public and Infrastructure'!B6</f>
        <v>Sky Bridges</v>
      </c>
      <c r="D14" s="141">
        <f ca="1">H14/'Public and Infrastructure'!Z6</f>
        <v>371.99995000000001</v>
      </c>
      <c r="E14" s="141">
        <f ca="1">'Public and Infrastructure'!I6</f>
        <v>10815000</v>
      </c>
      <c r="F14" s="141">
        <f ca="1">'Public and Infrastructure'!O6</f>
        <v>12620996.85</v>
      </c>
      <c r="G14" s="141">
        <f ca="1">'Public and Infrastructure'!U6</f>
        <v>0</v>
      </c>
      <c r="H14" s="141">
        <f t="shared" ca="1" si="6"/>
        <v>23435996.850000001</v>
      </c>
      <c r="I14" s="141"/>
      <c r="K14" s="322">
        <f ca="1">E14*$K$2+F14*$K$3+$K$4*G14</f>
        <v>3630133.5638063904</v>
      </c>
      <c r="L14" s="322">
        <f t="shared" ca="1" si="7"/>
        <v>7154234.949064712</v>
      </c>
      <c r="M14" s="322">
        <f t="shared" ca="1" si="5"/>
        <v>4478149.7239345806</v>
      </c>
      <c r="N14" s="322">
        <f t="shared" ca="1" si="5"/>
        <v>1754295.1599239139</v>
      </c>
      <c r="O14" s="322">
        <f t="shared" ca="1" si="5"/>
        <v>6419183.4532704018</v>
      </c>
      <c r="P14" s="59"/>
    </row>
    <row r="15" spans="1:17">
      <c r="B15" s="123" t="str">
        <f>'Public and Infrastructure'!B7</f>
        <v>BART Transit Station</v>
      </c>
      <c r="D15" s="141">
        <f ca="1">H15/'Public and Infrastructure'!Z7</f>
        <v>0</v>
      </c>
      <c r="E15" s="141">
        <f ca="1">'Public and Infrastructure'!I7</f>
        <v>0</v>
      </c>
      <c r="F15" s="141">
        <f ca="1">'Public and Infrastructure'!O7</f>
        <v>0</v>
      </c>
      <c r="G15" s="141">
        <f ca="1">'Public and Infrastructure'!U7</f>
        <v>0</v>
      </c>
      <c r="H15" s="141">
        <f t="shared" ca="1" si="6"/>
        <v>0</v>
      </c>
      <c r="I15" s="141"/>
      <c r="K15" s="322">
        <v>0</v>
      </c>
      <c r="L15" s="322">
        <v>0</v>
      </c>
      <c r="M15" s="322">
        <v>0</v>
      </c>
      <c r="N15" s="322">
        <v>0</v>
      </c>
      <c r="O15" s="322">
        <v>0</v>
      </c>
      <c r="P15" s="59"/>
    </row>
    <row r="16" spans="1:17">
      <c r="B16" s="123" t="str">
        <f>'Public and Infrastructure'!B8</f>
        <v>7th Street Improvements</v>
      </c>
      <c r="D16" s="141">
        <f ca="1">H16/'Public and Infrastructure'!Z8</f>
        <v>139.48587789763155</v>
      </c>
      <c r="E16" s="141">
        <f ca="1">'Public and Infrastructure'!I8</f>
        <v>875412.45000000007</v>
      </c>
      <c r="F16" s="141">
        <f ca="1">'Public and Infrastructure'!O8</f>
        <v>928725.06820500002</v>
      </c>
      <c r="G16" s="141">
        <f ca="1">'Public and Infrastructure'!U8</f>
        <v>985580.03974763083</v>
      </c>
      <c r="H16" s="141">
        <f t="shared" ca="1" si="6"/>
        <v>2789717.5579526308</v>
      </c>
      <c r="I16" s="141"/>
      <c r="K16" s="322">
        <f ca="1">E16*$K$2+F16*$K$3+$K$4*G16</f>
        <v>475771.78440924705</v>
      </c>
      <c r="L16" s="322">
        <f t="shared" ca="1" si="7"/>
        <v>1021844.5413997152</v>
      </c>
      <c r="M16" s="322">
        <f t="shared" ca="1" si="5"/>
        <v>572047.16127256118</v>
      </c>
      <c r="N16" s="322">
        <f t="shared" ca="1" si="5"/>
        <v>227213.62796150986</v>
      </c>
      <c r="O16" s="322">
        <f t="shared" ca="1" si="5"/>
        <v>492840.44290959759</v>
      </c>
      <c r="P16" s="59"/>
    </row>
    <row r="17" spans="2:22">
      <c r="B17" s="123" t="str">
        <f>'Public and Infrastructure'!B9</f>
        <v>5th and 6th Street Reduction</v>
      </c>
      <c r="D17" s="141">
        <f ca="1">H17/'Public and Infrastructure'!Z9</f>
        <v>15.920452499999998</v>
      </c>
      <c r="E17" s="141">
        <f ca="1">'Public and Infrastructure'!I9</f>
        <v>1120125</v>
      </c>
      <c r="F17" s="141">
        <f ca="1">'Public and Infrastructure'!O9</f>
        <v>1188340.6125</v>
      </c>
      <c r="G17" s="141">
        <f ca="1">'Public and Infrastructure'!U9</f>
        <v>0</v>
      </c>
      <c r="H17" s="141">
        <f t="shared" ca="1" si="6"/>
        <v>2308465.6124999998</v>
      </c>
      <c r="I17" s="141"/>
      <c r="K17" s="322">
        <f ca="1">E17*$K$2+F17*$K$3+$K$4*G17</f>
        <v>358415.52366168692</v>
      </c>
      <c r="L17" s="322">
        <f t="shared" ca="1" si="7"/>
        <v>698180.48545561451</v>
      </c>
      <c r="M17" s="322">
        <f t="shared" ca="1" si="5"/>
        <v>450059.33661656966</v>
      </c>
      <c r="N17" s="322">
        <f t="shared" ca="1" si="5"/>
        <v>171201.34509256447</v>
      </c>
      <c r="O17" s="322">
        <f t="shared" ca="1" si="5"/>
        <v>630608.92167356424</v>
      </c>
      <c r="P17" s="59"/>
    </row>
    <row r="18" spans="2:22">
      <c r="B18" s="123"/>
      <c r="K18" s="322">
        <f>E18*$K$2+F18*$K$3+$K$4*G18</f>
        <v>0</v>
      </c>
      <c r="L18" s="322">
        <f t="shared" si="7"/>
        <v>0</v>
      </c>
      <c r="M18" s="322">
        <f t="shared" si="5"/>
        <v>0</v>
      </c>
      <c r="N18" s="322">
        <f t="shared" si="5"/>
        <v>0</v>
      </c>
      <c r="O18" s="322">
        <f t="shared" si="5"/>
        <v>0</v>
      </c>
      <c r="P18" s="59"/>
    </row>
    <row r="19" spans="2:22">
      <c r="B19" s="150" t="s">
        <v>222</v>
      </c>
      <c r="C19" s="151"/>
      <c r="D19" s="154">
        <f t="shared" ref="D19:H19" ca="1" si="8">SUM(D12:D18)</f>
        <v>768.85183597013156</v>
      </c>
      <c r="E19" s="154">
        <f ca="1">SUM(E12:E18)</f>
        <v>21617037.449999999</v>
      </c>
      <c r="F19" s="154">
        <f t="shared" ca="1" si="8"/>
        <v>14738062.530705001</v>
      </c>
      <c r="G19" s="154">
        <f t="shared" ca="1" si="8"/>
        <v>6202313.3740976304</v>
      </c>
      <c r="H19" s="155">
        <f t="shared" ca="1" si="8"/>
        <v>42557413.354802623</v>
      </c>
      <c r="I19" s="141"/>
      <c r="K19" s="323">
        <f ca="1">SUM(K12:K18)</f>
        <v>6937059.3352853414</v>
      </c>
      <c r="L19" s="323">
        <f t="shared" ref="L19:O19" ca="1" si="9">SUM(L12:L18)</f>
        <v>13519448.534128353</v>
      </c>
      <c r="M19" s="323">
        <f t="shared" ca="1" si="9"/>
        <v>9123819.2109495904</v>
      </c>
      <c r="N19" s="323">
        <f t="shared" ca="1" si="9"/>
        <v>3168148.1332108052</v>
      </c>
      <c r="O19" s="323">
        <f t="shared" ca="1" si="9"/>
        <v>9808938.1412285399</v>
      </c>
      <c r="P19" s="59"/>
    </row>
    <row r="20" spans="2:22">
      <c r="B20" s="123"/>
      <c r="K20"/>
      <c r="L20"/>
      <c r="M20"/>
      <c r="N20"/>
      <c r="P20" s="59"/>
    </row>
    <row r="21" spans="2:22" ht="17.100000000000001">
      <c r="B21" s="280" t="s">
        <v>17</v>
      </c>
      <c r="C21" s="286"/>
      <c r="D21" s="279" t="s">
        <v>208</v>
      </c>
      <c r="E21" s="279" t="s">
        <v>91</v>
      </c>
      <c r="F21" s="279" t="s">
        <v>93</v>
      </c>
      <c r="G21" s="279" t="s">
        <v>94</v>
      </c>
      <c r="H21" s="279" t="s">
        <v>54</v>
      </c>
      <c r="I21" s="328"/>
      <c r="J21" s="319"/>
      <c r="K21" s="321" t="str">
        <f>K7</f>
        <v>Affordable Housing</v>
      </c>
      <c r="L21" s="321" t="str">
        <f t="shared" ref="L21:P21" si="10">L7</f>
        <v>Market Housing</v>
      </c>
      <c r="M21" s="321" t="str">
        <f t="shared" si="10"/>
        <v>Office</v>
      </c>
      <c r="N21" s="321" t="str">
        <f t="shared" si="10"/>
        <v>Retail</v>
      </c>
      <c r="O21" s="321" t="str">
        <f t="shared" si="10"/>
        <v>Structured Parking</v>
      </c>
      <c r="P21" s="309"/>
    </row>
    <row r="22" spans="2:22">
      <c r="B22" s="123" t="s">
        <v>223</v>
      </c>
      <c r="D22" s="144">
        <v>12</v>
      </c>
      <c r="E22" s="147">
        <f ca="1">Budget!$D$22*SUMIF(Land!$D$7:$D$27,Budget!E21,Land!$I$7:$I$27)*(1+Assumptions!V76/Assumptions!V77)^(YEAR(Assumptions!E4)-YEAR(TODAY()))</f>
        <v>4218220.8</v>
      </c>
      <c r="F22" s="147">
        <f ca="1">Budget!$D$22*SUMIF(Land!$D$7:$D$27,Budget!F21,Land!$I$7:$I$27)*(1+Assumptions!W76/Assumptions!W77)^(YEAR(Assumptions!E5)-YEAR(TODAY()))</f>
        <v>1571363.2805399999</v>
      </c>
      <c r="G22" s="147">
        <f ca="1">Budget!$D$22*SUMIF(Land!$D$7:$D$27,Budget!G21,Land!$I$7:$I$27)*(1+Assumptions!X76/Assumptions!X77)^(YEAR(Assumptions!E6)-YEAR(TODAY()))</f>
        <v>1627926.8486728149</v>
      </c>
      <c r="H22" s="147">
        <f ca="1">SUM(E22:G22)</f>
        <v>7417510.9292128142</v>
      </c>
      <c r="I22" s="147"/>
      <c r="K22" s="322">
        <f ca="1">$E22*K$2+$F22*K$3+$G22*K$4</f>
        <v>1243769.6592703015</v>
      </c>
      <c r="L22" s="322">
        <f t="shared" ref="L22:O32" ca="1" si="11">$E22*L$2+$F22*L$3+$G22*L$4</f>
        <v>2370113.2011206951</v>
      </c>
      <c r="M22" s="322">
        <f t="shared" ca="1" si="11"/>
        <v>1722792.3582279719</v>
      </c>
      <c r="N22" s="322">
        <f t="shared" ca="1" si="11"/>
        <v>542602.96639233455</v>
      </c>
      <c r="O22" s="322">
        <f t="shared" ca="1" si="11"/>
        <v>1538232.7442015116</v>
      </c>
      <c r="P22" s="59"/>
      <c r="S22" s="1" t="s">
        <v>91</v>
      </c>
      <c r="T22" s="1" t="s">
        <v>93</v>
      </c>
      <c r="U22" s="1" t="s">
        <v>94</v>
      </c>
      <c r="V22" s="1" t="s">
        <v>54</v>
      </c>
    </row>
    <row r="23" spans="2:22">
      <c r="B23" s="137" t="s">
        <v>118</v>
      </c>
      <c r="D23" s="144">
        <v>312</v>
      </c>
      <c r="E23" s="148">
        <f ca="1">Assumptions!S18*Budget!$D$23*(1+Assumptions!V76/Assumptions!V77)^(YEAR(Assumptions!E4)-YEAR(TODAY()))</f>
        <v>40756009.411764711</v>
      </c>
      <c r="F23" s="148">
        <f ca="1">Assumptions!T18*Budget!$D$23*(1+Assumptions!W76/Assumptions!W77)^(YEAR(Assumptions!E5)-YEAR(TODAY()))</f>
        <v>52469253.813600004</v>
      </c>
      <c r="G23" s="148">
        <f ca="1">Assumptions!U18*Budget!$D$23*(1+Assumptions!X76/Assumptions!X77)^(YEAR(Assumptions!E6)-YEAR(TODAY()))</f>
        <v>34831085.126788072</v>
      </c>
      <c r="H23" s="147">
        <f t="shared" ref="H23:H31" ca="1" si="12">SUM(E23:G23)</f>
        <v>128056348.35215279</v>
      </c>
      <c r="I23" s="147"/>
      <c r="K23" s="322">
        <f ca="1">H23</f>
        <v>128056348.35215279</v>
      </c>
      <c r="L23" s="322">
        <v>0</v>
      </c>
      <c r="M23" s="322">
        <v>0</v>
      </c>
      <c r="N23" s="322">
        <v>0</v>
      </c>
      <c r="O23" s="322">
        <v>0</v>
      </c>
      <c r="P23" s="59"/>
      <c r="R23" s="1" t="s">
        <v>20</v>
      </c>
      <c r="S23" s="146">
        <f>E9</f>
        <v>56664292</v>
      </c>
      <c r="T23" s="146">
        <f>F9</f>
        <v>17964902</v>
      </c>
      <c r="U23" s="146">
        <f>G9</f>
        <v>25430473</v>
      </c>
      <c r="V23" s="146">
        <f>SUM(S23:U23)</f>
        <v>100059667</v>
      </c>
    </row>
    <row r="24" spans="2:22">
      <c r="B24" s="137" t="s">
        <v>126</v>
      </c>
      <c r="D24" s="144">
        <v>280</v>
      </c>
      <c r="E24" s="148">
        <f ca="1">'Public and Infrastructure'!F26*(1+Assumptions!V76/Assumptions!V77)^(YEAR(Assumptions!E4)-YEAR(TODAY()))</f>
        <v>6337109.333333334</v>
      </c>
      <c r="F24" s="148">
        <f ca="1">'Public and Infrastructure'!G26*(1+Assumptions!W76/Assumptions!W77)^(YEAR(Assumptions!E5)-YEAR(TODAY()))</f>
        <v>0</v>
      </c>
      <c r="G24" s="148">
        <f ca="1">'Public and Infrastructure'!H26*(1+Assumptions!X76/Assumptions!X77)^(YEAR(Assumptions!E6)-YEAR(TODAY()))</f>
        <v>0</v>
      </c>
      <c r="H24" s="147">
        <f ca="1">SUM(E24:G24)</f>
        <v>6337109.333333334</v>
      </c>
      <c r="I24" s="147"/>
      <c r="J24" s="149"/>
      <c r="K24" s="322">
        <f ca="1">H24</f>
        <v>6337109.333333334</v>
      </c>
      <c r="L24" s="322">
        <v>0</v>
      </c>
      <c r="M24" s="322">
        <v>0</v>
      </c>
      <c r="N24" s="322">
        <v>0</v>
      </c>
      <c r="O24" s="322">
        <v>0</v>
      </c>
      <c r="R24" s="1" t="s">
        <v>224</v>
      </c>
      <c r="S24" s="146">
        <f ca="1">E19+E33+E37-S25</f>
        <v>302729770.65373278</v>
      </c>
      <c r="T24" s="146">
        <f ca="1">F19+F33+F37-T25</f>
        <v>413684371.55304682</v>
      </c>
      <c r="U24" s="146">
        <f ca="1">G19+G33+G37-U25</f>
        <v>262174867.42841658</v>
      </c>
      <c r="V24" s="146">
        <f t="shared" ref="V24:V26" ca="1" si="13">SUM(S24:U24)</f>
        <v>978589009.63519621</v>
      </c>
    </row>
    <row r="25" spans="2:22">
      <c r="B25" s="137" t="s">
        <v>95</v>
      </c>
      <c r="D25" s="144">
        <v>390</v>
      </c>
      <c r="E25" s="147">
        <f ca="1">Assumptions!S11*$D$25*(1+Assumptions!V76/Assumptions!V77)^(YEAR(Assumptions!E4)-YEAR(TODAY()))</f>
        <v>75318750</v>
      </c>
      <c r="F25" s="147">
        <f ca="1">Assumptions!T11*$D$25*(1+Assumptions!W76/Assumptions!W77)^(YEAR(Assumptions!E5)-YEAR(TODAY()))</f>
        <v>159811323.75</v>
      </c>
      <c r="G25" s="147">
        <f ca="1">Assumptions!U11*$D$25*(1+Assumptions!X76/Assumptions!X77)^(YEAR(Assumptions!E6)-YEAR(TODAY()))</f>
        <v>105964895.85398436</v>
      </c>
      <c r="H25" s="147">
        <f t="shared" ca="1" si="12"/>
        <v>341094969.60398436</v>
      </c>
      <c r="I25" s="147"/>
      <c r="K25" s="322">
        <v>0</v>
      </c>
      <c r="L25" s="322">
        <f ca="1">H25</f>
        <v>341094969.60398436</v>
      </c>
      <c r="M25" s="322">
        <v>0</v>
      </c>
      <c r="N25" s="322">
        <v>0</v>
      </c>
      <c r="O25" s="322">
        <v>0</v>
      </c>
      <c r="R25" s="1" t="s">
        <v>67</v>
      </c>
      <c r="S25" s="146">
        <f ca="1">'Public and Infrastructure'!F75</f>
        <v>43752397.356666669</v>
      </c>
      <c r="T25" s="146">
        <f ca="1">'Public and Infrastructure'!G75</f>
        <v>14938064.530705001</v>
      </c>
      <c r="U25" s="146">
        <f ca="1">'Public and Infrastructure'!H75</f>
        <v>12404626.748195259</v>
      </c>
      <c r="V25" s="146">
        <f t="shared" ca="1" si="13"/>
        <v>71095088.635566935</v>
      </c>
    </row>
    <row r="26" spans="2:22">
      <c r="B26" s="137" t="s">
        <v>124</v>
      </c>
      <c r="D26" s="144">
        <v>315</v>
      </c>
      <c r="E26" s="147">
        <f ca="1">$D$26*Assumptions!S28*(1+Assumptions!V76/Assumptions!V77)^(YEAR(Assumptions!E4)-YEAR(TODAY()))</f>
        <v>70362650.602409646</v>
      </c>
      <c r="F26" s="147">
        <f ca="1">$D$26*Assumptions!T28*(1+Assumptions!W76/Assumptions!W77)^(YEAR(Assumptions!E5)-YEAR(TODAY()))</f>
        <v>41470964.457831323</v>
      </c>
      <c r="G26" s="147">
        <f ca="1">$D$26*Assumptions!U28*(1+Assumptions!X76/Assumptions!X77)^(YEAR(Assumptions!E6)-YEAR(TODAY()))</f>
        <v>39596891.573981926</v>
      </c>
      <c r="H26" s="147">
        <f t="shared" ca="1" si="12"/>
        <v>151430506.63422289</v>
      </c>
      <c r="I26" s="147"/>
      <c r="K26" s="322">
        <v>0</v>
      </c>
      <c r="L26" s="322">
        <v>0</v>
      </c>
      <c r="M26" s="322">
        <f ca="1">H26</f>
        <v>151430506.63422289</v>
      </c>
      <c r="N26" s="322">
        <v>0</v>
      </c>
      <c r="O26" s="322">
        <v>0</v>
      </c>
      <c r="R26" s="1" t="s">
        <v>225</v>
      </c>
      <c r="S26" s="146">
        <f ca="1">E53+E49+E44</f>
        <v>35802262.066538796</v>
      </c>
      <c r="T26" s="146">
        <f ca="1">F53+F49+F44</f>
        <v>41143972.570198692</v>
      </c>
      <c r="U26" s="146">
        <f ca="1">G53+G49+G44</f>
        <v>27330591.109987624</v>
      </c>
      <c r="V26" s="146">
        <f t="shared" ca="1" si="13"/>
        <v>104276825.74672511</v>
      </c>
    </row>
    <row r="27" spans="2:22">
      <c r="B27" s="137" t="s">
        <v>226</v>
      </c>
      <c r="D27" s="144">
        <v>100</v>
      </c>
      <c r="E27" s="147">
        <f ca="1">$D$27*Assumptions!S28*(1+Assumptions!V76/Assumptions!V77)^(YEAR(Assumptions!E4)-YEAR(TODAY()))</f>
        <v>22337349.397590362</v>
      </c>
      <c r="F27" s="147">
        <f ca="1">$D$27*Assumptions!T28*(1+Assumptions!W76/Assumptions!W77)^(YEAR(Assumptions!E5)-YEAR(TODAY()))</f>
        <v>13165385.542168673</v>
      </c>
      <c r="G27" s="147">
        <f ca="1">$D$27*Assumptions!U28*(1+Assumptions!X76/Assumptions!X77)^(YEAR(Assumptions!E6)-YEAR(TODAY()))</f>
        <v>12570441.769518072</v>
      </c>
      <c r="H27" s="147">
        <f t="shared" ca="1" si="12"/>
        <v>48073176.709277101</v>
      </c>
      <c r="I27" s="147"/>
      <c r="K27" s="322">
        <v>0</v>
      </c>
      <c r="L27" s="322">
        <v>0</v>
      </c>
      <c r="M27" s="322">
        <f ca="1">H27</f>
        <v>48073176.709277101</v>
      </c>
      <c r="N27" s="322">
        <v>0</v>
      </c>
      <c r="O27" s="322">
        <v>0</v>
      </c>
      <c r="R27" s="1" t="s">
        <v>54</v>
      </c>
      <c r="S27" s="146">
        <f ca="1">SUM(S23:S26)</f>
        <v>438948722.07693827</v>
      </c>
      <c r="T27" s="146">
        <f t="shared" ref="T27:U27" ca="1" si="14">SUM(T23:T26)</f>
        <v>487731310.65395051</v>
      </c>
      <c r="U27" s="146">
        <f t="shared" ca="1" si="14"/>
        <v>327340558.28659946</v>
      </c>
      <c r="V27" s="146">
        <f ca="1">SUM(S27:U27)</f>
        <v>1254020591.0174882</v>
      </c>
    </row>
    <row r="28" spans="2:22">
      <c r="B28" s="137" t="s">
        <v>18</v>
      </c>
      <c r="D28" s="144">
        <v>160</v>
      </c>
      <c r="E28" s="147">
        <f ca="1">$D$28*Assumptions!S33*(1+Assumptions!V76/Assumptions!V77)^(YEAR(Assumptions!E4)-YEAR(TODAY()))</f>
        <v>7577011.4942528745</v>
      </c>
      <c r="F28" s="147">
        <f ca="1">$D$28*Assumptions!T33*(1+Assumptions!W76/Assumptions!W77)^(YEAR(Assumptions!E5)-YEAR(TODAY()))</f>
        <v>16076902.988505749</v>
      </c>
      <c r="G28" s="147">
        <f ca="1">$D$28*Assumptions!U33*(1+Assumptions!X76/Assumptions!X77)^(YEAR(Assumptions!E6)-YEAR(TODAY()))</f>
        <v>8527993.190252874</v>
      </c>
      <c r="H28" s="147">
        <f t="shared" ca="1" si="12"/>
        <v>32181907.673011497</v>
      </c>
      <c r="I28" s="147"/>
      <c r="K28" s="322">
        <v>0</v>
      </c>
      <c r="L28" s="322">
        <v>0</v>
      </c>
      <c r="M28" s="322">
        <v>0</v>
      </c>
      <c r="N28" s="322">
        <f ca="1">H28</f>
        <v>32181907.673011497</v>
      </c>
      <c r="O28" s="322">
        <v>0</v>
      </c>
    </row>
    <row r="29" spans="2:22">
      <c r="B29" s="137" t="s">
        <v>227</v>
      </c>
      <c r="D29" s="144">
        <v>40</v>
      </c>
      <c r="E29" s="147">
        <f ca="1">$D$29*Assumptions!S33*(1+Assumptions!V76/Assumptions!V77)^(YEAR(Assumptions!E4)-YEAR(TODAY()))</f>
        <v>1894252.8735632186</v>
      </c>
      <c r="F29" s="147">
        <f ca="1">$D$29*Assumptions!T33*(1+Assumptions!W76/Assumptions!W77)^(YEAR(Assumptions!E5)-YEAR(TODAY()))</f>
        <v>4019225.7471264373</v>
      </c>
      <c r="G29" s="147">
        <f ca="1">$D$29*Assumptions!U33*(1+Assumptions!X76/Assumptions!X77)^(YEAR(Assumptions!E6)-YEAR(TODAY()))</f>
        <v>2131998.2975632185</v>
      </c>
      <c r="H29" s="147">
        <f t="shared" ca="1" si="12"/>
        <v>8045476.9182528742</v>
      </c>
      <c r="I29" s="147"/>
      <c r="K29" s="322">
        <v>0</v>
      </c>
      <c r="L29" s="322">
        <v>0</v>
      </c>
      <c r="M29" s="322">
        <v>0</v>
      </c>
      <c r="N29" s="322">
        <f ca="1">H29</f>
        <v>8045476.9182528742</v>
      </c>
      <c r="O29" s="322">
        <v>0</v>
      </c>
      <c r="S29" s="1" t="s">
        <v>91</v>
      </c>
      <c r="T29" s="1" t="s">
        <v>93</v>
      </c>
      <c r="U29" s="1" t="s">
        <v>94</v>
      </c>
      <c r="V29" s="1" t="s">
        <v>54</v>
      </c>
    </row>
    <row r="30" spans="2:22">
      <c r="B30" s="137" t="s">
        <v>52</v>
      </c>
      <c r="D30" s="144">
        <f>'Public and Infrastructure'!M20</f>
        <v>0</v>
      </c>
      <c r="E30" s="147">
        <f ca="1">'Public and Infrastructure'!N21</f>
        <v>0</v>
      </c>
      <c r="F30" s="147">
        <f ca="1">'Public and Infrastructure'!O21*(1+Assumptions!W76/Assumptions!W77)^(YEAR(Assumptions!E5)-YEAR(TODAY()))</f>
        <v>0</v>
      </c>
      <c r="G30" s="147">
        <f ca="1">'Public and Infrastructure'!P21*(1+Assumptions!X76/Assumptions!X77)^(YEAR(Assumptions!E6)-YEAR(TODAY()))</f>
        <v>0</v>
      </c>
      <c r="H30" s="147">
        <f t="shared" ca="1" si="12"/>
        <v>0</v>
      </c>
      <c r="I30" s="147"/>
      <c r="K30" s="322">
        <v>0</v>
      </c>
      <c r="L30" s="322">
        <v>0</v>
      </c>
      <c r="M30" s="322">
        <v>0</v>
      </c>
      <c r="N30" s="322">
        <v>0</v>
      </c>
      <c r="O30" s="322">
        <v>0</v>
      </c>
      <c r="R30" s="1" t="s">
        <v>20</v>
      </c>
      <c r="S30" s="87">
        <f ca="1">S23/$S$27</f>
        <v>0.12909091461044958</v>
      </c>
      <c r="T30" s="87">
        <f ca="1">T23/$T$27</f>
        <v>3.6833604092205291E-2</v>
      </c>
      <c r="U30" s="87">
        <f ca="1">U23/$U$27</f>
        <v>7.7688121304340871E-2</v>
      </c>
      <c r="V30" s="85">
        <f ca="1">V23/$V$27</f>
        <v>7.9791087735500033E-2</v>
      </c>
    </row>
    <row r="31" spans="2:22">
      <c r="B31" s="137" t="s">
        <v>10</v>
      </c>
      <c r="D31" s="260">
        <f>37000/450</f>
        <v>82.222222222222229</v>
      </c>
      <c r="E31" s="147">
        <f ca="1">$D$31*Assumptions!S36*(1+Assumptions!V76/Assumptions!V77)^(YEAR(Assumptions!E4)-YEAR(TODAY()))</f>
        <v>16937777.77777778</v>
      </c>
      <c r="F31" s="147">
        <f ca="1">$D$31*Assumptions!T36*(1+Assumptions!W76/Assumptions!W77)^(YEAR(Assumptions!E5)-YEAR(TODAY()))</f>
        <v>26953932.666666668</v>
      </c>
      <c r="G31" s="147">
        <f ca="1">$D$31*Assumptions!U36*(1+Assumptions!X76/Assumptions!X77)^(YEAR(Assumptions!E6)-YEAR(TODAY()))</f>
        <v>0</v>
      </c>
      <c r="H31" s="147">
        <f t="shared" ca="1" si="12"/>
        <v>43891710.444444448</v>
      </c>
      <c r="I31" s="147"/>
      <c r="K31" s="322">
        <v>0</v>
      </c>
      <c r="L31" s="322">
        <v>0</v>
      </c>
      <c r="M31" s="322">
        <v>0</v>
      </c>
      <c r="N31" s="322">
        <v>0</v>
      </c>
      <c r="O31" s="322">
        <f ca="1">H31</f>
        <v>43891710.444444448</v>
      </c>
      <c r="R31" s="1" t="s">
        <v>224</v>
      </c>
      <c r="S31" s="87">
        <f ca="1">S24/$S$27</f>
        <v>0.68967001252750149</v>
      </c>
      <c r="T31" s="87">
        <f ca="1">T24/$T$27</f>
        <v>0.8481808785217797</v>
      </c>
      <c r="U31" s="87">
        <f ca="1">U24/$U$27</f>
        <v>0.80092387206987115</v>
      </c>
      <c r="V31" s="85">
        <f ca="1">V24/$V$27</f>
        <v>0.78036119713248719</v>
      </c>
    </row>
    <row r="32" spans="2:22">
      <c r="B32" s="137" t="s">
        <v>228</v>
      </c>
      <c r="D32" s="53">
        <v>0.04</v>
      </c>
      <c r="E32" s="147">
        <f ca="1">SUM(E22:E31)*D32</f>
        <v>9829565.2676276769</v>
      </c>
      <c r="F32" s="147">
        <f ca="1">SUM(F22:F31)*D32</f>
        <v>12621534.089857554</v>
      </c>
      <c r="G32" s="147">
        <f ca="1">SUM(G22:G31)*D32</f>
        <v>8210049.3064304544</v>
      </c>
      <c r="H32" s="138">
        <f ca="1">SUM(H22:H31)*D32</f>
        <v>30661148.663915686</v>
      </c>
      <c r="I32" s="138"/>
      <c r="K32" s="322">
        <f t="shared" ref="K23:K32" ca="1" si="15">$E32*K$2+$F32*K$3+$G32*K$4</f>
        <v>5099275.2115748459</v>
      </c>
      <c r="L32" s="322">
        <f t="shared" ca="1" si="11"/>
        <v>10883465.72097734</v>
      </c>
      <c r="M32" s="322">
        <f t="shared" ca="1" si="11"/>
        <v>6038462.8614622504</v>
      </c>
      <c r="N32" s="322">
        <f t="shared" ca="1" si="11"/>
        <v>2474202.9610201814</v>
      </c>
      <c r="O32" s="322">
        <f t="shared" ca="1" si="11"/>
        <v>6165741.9088810664</v>
      </c>
      <c r="R32" s="1" t="s">
        <v>67</v>
      </c>
      <c r="S32" s="87">
        <f ca="1">S25/$S$27</f>
        <v>9.9675418007021357E-2</v>
      </c>
      <c r="T32" s="87">
        <f ca="1">T25/$T$27</f>
        <v>3.0627651340809005E-2</v>
      </c>
      <c r="U32" s="87">
        <f ca="1">U25/$U$27</f>
        <v>3.7895171967460638E-2</v>
      </c>
      <c r="V32" s="85">
        <f ca="1">V25/$V$27</f>
        <v>5.6693717108649504E-2</v>
      </c>
    </row>
    <row r="33" spans="2:22">
      <c r="B33" s="150" t="s">
        <v>222</v>
      </c>
      <c r="C33" s="151"/>
      <c r="D33" s="152">
        <f>SUM(D22:D32)</f>
        <v>1691.2622222222221</v>
      </c>
      <c r="E33" s="152">
        <f ca="1">SUM(E22:E32)</f>
        <v>255568696.9583196</v>
      </c>
      <c r="F33" s="152">
        <f ca="1">SUM(F22:F32)</f>
        <v>328159886.33629644</v>
      </c>
      <c r="G33" s="152">
        <f ca="1">SUM(G22:G32)</f>
        <v>213461281.96719182</v>
      </c>
      <c r="H33" s="153">
        <f ca="1">SUM(H22:H32)</f>
        <v>797189865.2618078</v>
      </c>
      <c r="I33" s="147"/>
      <c r="K33" s="323">
        <f ca="1">+SUM(K22:K32)</f>
        <v>140736502.55633128</v>
      </c>
      <c r="L33" s="323">
        <f ca="1">+SUM(L22:L32)</f>
        <v>354348548.5260824</v>
      </c>
      <c r="M33" s="323">
        <f t="shared" ref="M33:O33" ca="1" si="16">+SUM(M22:M32)</f>
        <v>207264938.56319022</v>
      </c>
      <c r="N33" s="323">
        <f t="shared" ca="1" si="16"/>
        <v>43244190.518676884</v>
      </c>
      <c r="O33" s="323">
        <f t="shared" ca="1" si="16"/>
        <v>51595685.097527027</v>
      </c>
      <c r="R33" s="1" t="s">
        <v>225</v>
      </c>
      <c r="S33" s="87">
        <f ca="1">S26/$S$27</f>
        <v>8.1563654855027534E-2</v>
      </c>
      <c r="T33" s="87">
        <f ca="1">T26/$T$27</f>
        <v>8.4357866045205968E-2</v>
      </c>
      <c r="U33" s="87">
        <f ca="1">U26/$U$27</f>
        <v>8.3492834658327381E-2</v>
      </c>
      <c r="V33" s="85">
        <f ca="1">V26/$V$27</f>
        <v>8.3153998023363318E-2</v>
      </c>
    </row>
    <row r="34" spans="2:22">
      <c r="B34" s="123"/>
      <c r="K34" s="325"/>
      <c r="L34" s="325"/>
      <c r="M34" s="325"/>
      <c r="N34" s="325"/>
    </row>
    <row r="35" spans="2:22" ht="17.100000000000001">
      <c r="B35" s="280" t="s">
        <v>19</v>
      </c>
      <c r="C35" s="286"/>
      <c r="D35" s="279" t="s">
        <v>209</v>
      </c>
      <c r="E35" s="279" t="s">
        <v>91</v>
      </c>
      <c r="F35" s="279" t="s">
        <v>93</v>
      </c>
      <c r="G35" s="279" t="s">
        <v>94</v>
      </c>
      <c r="H35" s="279" t="s">
        <v>54</v>
      </c>
      <c r="I35" s="328"/>
      <c r="J35" s="319"/>
      <c r="K35" s="321" t="str">
        <f>K21</f>
        <v>Affordable Housing</v>
      </c>
      <c r="L35" s="321" t="str">
        <f t="shared" ref="L35:P35" si="17">L21</f>
        <v>Market Housing</v>
      </c>
      <c r="M35" s="321" t="str">
        <f t="shared" si="17"/>
        <v>Office</v>
      </c>
      <c r="N35" s="321" t="str">
        <f t="shared" si="17"/>
        <v>Retail</v>
      </c>
      <c r="O35" s="321" t="str">
        <f t="shared" si="17"/>
        <v>Structured Parking</v>
      </c>
      <c r="P35" s="309"/>
    </row>
    <row r="36" spans="2:22">
      <c r="B36" s="123" t="s">
        <v>229</v>
      </c>
      <c r="D36" s="53">
        <v>0.25</v>
      </c>
      <c r="E36" s="148">
        <f ca="1">(E33+E19)*$D$36</f>
        <v>69296433.602079898</v>
      </c>
      <c r="F36" s="148">
        <f ca="1">(F33+F19)*$D$36</f>
        <v>85724487.216750354</v>
      </c>
      <c r="G36" s="148">
        <f ca="1">(G33+G19)*$D$36</f>
        <v>54915898.835322365</v>
      </c>
      <c r="H36" s="148">
        <f ca="1">(H33+H19)*$D$36</f>
        <v>209936819.6541526</v>
      </c>
      <c r="I36" s="148"/>
      <c r="K36" s="322">
        <f ca="1">$E36*K$2+$F36*K$3+$G36*K$4</f>
        <v>34879553.70905783</v>
      </c>
      <c r="L36" s="322">
        <f t="shared" ref="L36:O36" ca="1" si="18">$E36*L$2+$F36*L$3+$G36*L$4</f>
        <v>74122389.319884807</v>
      </c>
      <c r="M36" s="322">
        <f t="shared" ca="1" si="18"/>
        <v>41530963.402242027</v>
      </c>
      <c r="N36" s="322">
        <f t="shared" ca="1" si="18"/>
        <v>16874356.279933881</v>
      </c>
      <c r="O36" s="322">
        <f t="shared" ca="1" si="18"/>
        <v>42529556.943034068</v>
      </c>
    </row>
    <row r="37" spans="2:22">
      <c r="B37" s="150" t="s">
        <v>230</v>
      </c>
      <c r="C37" s="151"/>
      <c r="D37" s="151"/>
      <c r="E37" s="152">
        <f ca="1">SUM(E36)</f>
        <v>69296433.602079898</v>
      </c>
      <c r="F37" s="152">
        <f t="shared" ref="F37:H37" ca="1" si="19">SUM(F36)</f>
        <v>85724487.216750354</v>
      </c>
      <c r="G37" s="152">
        <f t="shared" ca="1" si="19"/>
        <v>54915898.835322365</v>
      </c>
      <c r="H37" s="153">
        <f t="shared" ca="1" si="19"/>
        <v>209936819.6541526</v>
      </c>
      <c r="I37" s="147"/>
      <c r="K37" s="323">
        <f t="shared" ref="K37:N37" ca="1" si="20">+SUM(K36)</f>
        <v>34879553.70905783</v>
      </c>
      <c r="L37" s="323">
        <f t="shared" ca="1" si="20"/>
        <v>74122389.319884807</v>
      </c>
      <c r="M37" s="323">
        <f t="shared" ca="1" si="20"/>
        <v>41530963.402242027</v>
      </c>
      <c r="N37" s="323">
        <f t="shared" ca="1" si="20"/>
        <v>16874356.279933881</v>
      </c>
      <c r="O37" s="323">
        <f ca="1">+SUM(O36)</f>
        <v>42529556.943034068</v>
      </c>
    </row>
    <row r="38" spans="2:22">
      <c r="B38" s="123"/>
      <c r="K38" s="326"/>
      <c r="L38" s="326"/>
      <c r="M38" s="326"/>
      <c r="N38" s="326"/>
    </row>
    <row r="39" spans="2:22" ht="17.100000000000001">
      <c r="B39" s="280" t="s">
        <v>33</v>
      </c>
      <c r="C39" s="286"/>
      <c r="D39" s="286"/>
      <c r="E39" s="279" t="s">
        <v>91</v>
      </c>
      <c r="F39" s="279" t="s">
        <v>93</v>
      </c>
      <c r="G39" s="279" t="s">
        <v>94</v>
      </c>
      <c r="H39" s="279" t="s">
        <v>54</v>
      </c>
      <c r="I39" s="328"/>
      <c r="J39" s="319"/>
      <c r="K39" s="321" t="str">
        <f>K7</f>
        <v>Affordable Housing</v>
      </c>
      <c r="L39" s="321" t="str">
        <f t="shared" ref="L39:P39" si="21">L7</f>
        <v>Market Housing</v>
      </c>
      <c r="M39" s="321" t="str">
        <f t="shared" si="21"/>
        <v>Office</v>
      </c>
      <c r="N39" s="321" t="str">
        <f t="shared" si="21"/>
        <v>Retail</v>
      </c>
      <c r="O39" s="321" t="str">
        <f t="shared" si="21"/>
        <v>Structured Parking</v>
      </c>
      <c r="P39" s="309"/>
    </row>
    <row r="40" spans="2:22">
      <c r="B40" s="123" t="s">
        <v>231</v>
      </c>
      <c r="E40" s="147">
        <f ca="1">Assumptions!V102*'Sources&amp;Uses'!F11</f>
        <v>4279750.0402501477</v>
      </c>
      <c r="F40" s="147">
        <f ca="1">Assumptions!W102*'Sources&amp;Uses'!G11</f>
        <v>4755380.2788760168</v>
      </c>
      <c r="G40" s="147">
        <f ca="1">Assumptions!X102*'Sources&amp;Uses'!H11</f>
        <v>3191570.4432943449</v>
      </c>
      <c r="H40" s="147">
        <f ca="1">SUM(E40:G40)</f>
        <v>12226700.762420509</v>
      </c>
      <c r="I40" s="147"/>
      <c r="K40" s="322">
        <f ca="1">$E40*K$2+$F40*K$3+$G40*K$4</f>
        <v>2034796.2566553499</v>
      </c>
      <c r="L40" s="322">
        <f t="shared" ref="L40:O42" ca="1" si="22">$E40*L$2+$F40*L$3+$G40*L$4</f>
        <v>4287061.1028458178</v>
      </c>
      <c r="M40" s="322">
        <f t="shared" ca="1" si="22"/>
        <v>2457880.1665010867</v>
      </c>
      <c r="N40" s="322">
        <f t="shared" ca="1" si="22"/>
        <v>975608.15089682222</v>
      </c>
      <c r="O40" s="322">
        <f t="shared" ca="1" si="22"/>
        <v>2471355.0855214326</v>
      </c>
    </row>
    <row r="41" spans="2:22">
      <c r="B41" s="123" t="s">
        <v>232</v>
      </c>
      <c r="E41" s="147">
        <f ca="1">Assumptions!V100*Assumptions!V103*'Sources&amp;Uses'!F11*(Assumptions!$F$2/12)</f>
        <v>20542800.193200711</v>
      </c>
      <c r="F41" s="147">
        <f ca="1">Assumptions!W100*Assumptions!W103*'Sources&amp;Uses'!G11*(Assumptions!$F$2/12)</f>
        <v>22825825.338604882</v>
      </c>
      <c r="G41" s="147">
        <f ca="1">Assumptions!X100*Assumptions!X103*'Sources&amp;Uses'!H11*(Assumptions!$F$2/12)</f>
        <v>15319538.127812857</v>
      </c>
      <c r="H41" s="147">
        <f ca="1">SUM(E41:G41)</f>
        <v>58688163.659618445</v>
      </c>
      <c r="I41" s="147"/>
      <c r="J41" s="207"/>
      <c r="K41" s="322">
        <f t="shared" ref="K41:K42" ca="1" si="23">$E41*K$2+$F41*K$3+$G41*K$4</f>
        <v>9767022.0319456793</v>
      </c>
      <c r="L41" s="322">
        <f t="shared" ca="1" si="22"/>
        <v>20577893.293659925</v>
      </c>
      <c r="M41" s="322">
        <f t="shared" ca="1" si="22"/>
        <v>11797824.799205218</v>
      </c>
      <c r="N41" s="322">
        <f t="shared" ca="1" si="22"/>
        <v>4682919.1243047472</v>
      </c>
      <c r="O41" s="322">
        <f t="shared" ca="1" si="22"/>
        <v>11862504.410502877</v>
      </c>
    </row>
    <row r="42" spans="2:22">
      <c r="B42" s="123" t="s">
        <v>233</v>
      </c>
      <c r="E42" s="147">
        <f ca="1">'Sources&amp;Uses'!F12*Assumptions!V105</f>
        <v>241913.45944261953</v>
      </c>
      <c r="F42" s="147">
        <f ca="1">'Sources&amp;Uses'!G12*Assumptions!W105</f>
        <v>360760.53687190765</v>
      </c>
      <c r="G42" s="147">
        <f ca="1">'Sources&amp;Uses'!H12*Assumptions!X105</f>
        <v>238764.38024873222</v>
      </c>
      <c r="H42" s="147">
        <f ca="1">SUM(E42:G42)</f>
        <v>841438.3765632594</v>
      </c>
      <c r="I42" s="147"/>
      <c r="J42" s="207"/>
      <c r="K42" s="322">
        <f t="shared" ca="1" si="23"/>
        <v>140194.09336320424</v>
      </c>
      <c r="L42" s="322">
        <f t="shared" ca="1" si="22"/>
        <v>303641.09539494733</v>
      </c>
      <c r="M42" s="322">
        <f t="shared" ca="1" si="22"/>
        <v>162617.57065014628</v>
      </c>
      <c r="N42" s="322">
        <f t="shared" ca="1" si="22"/>
        <v>68798.460135420217</v>
      </c>
      <c r="O42" s="322">
        <f t="shared" ca="1" si="22"/>
        <v>166187.15701954128</v>
      </c>
    </row>
    <row r="43" spans="2:22">
      <c r="B43" s="123"/>
      <c r="K43" s="322"/>
      <c r="L43" s="322"/>
      <c r="M43" s="322"/>
      <c r="N43" s="322"/>
      <c r="O43" s="322"/>
    </row>
    <row r="44" spans="2:22">
      <c r="B44" s="150" t="s">
        <v>234</v>
      </c>
      <c r="C44" s="151"/>
      <c r="D44" s="151"/>
      <c r="E44" s="152">
        <f ca="1">SUM(E40:E43)</f>
        <v>25064463.692893479</v>
      </c>
      <c r="F44" s="152">
        <f t="shared" ref="F44:H44" ca="1" si="24">SUM(F40:F43)</f>
        <v>27941966.154352807</v>
      </c>
      <c r="G44" s="152">
        <f t="shared" ca="1" si="24"/>
        <v>18749872.951355934</v>
      </c>
      <c r="H44" s="152">
        <f t="shared" ca="1" si="24"/>
        <v>71756302.798602223</v>
      </c>
      <c r="I44" s="147"/>
      <c r="K44" s="323">
        <f ca="1">+SUM(K40:K43)</f>
        <v>11942012.381964235</v>
      </c>
      <c r="L44" s="323">
        <f t="shared" ref="L44:O44" ca="1" si="25">+SUM(L40:L43)</f>
        <v>25168595.49190069</v>
      </c>
      <c r="M44" s="323">
        <f t="shared" ca="1" si="25"/>
        <v>14418322.536356449</v>
      </c>
      <c r="N44" s="323">
        <f t="shared" ca="1" si="25"/>
        <v>5727325.7353369892</v>
      </c>
      <c r="O44" s="323">
        <f t="shared" ca="1" si="25"/>
        <v>14500046.653043851</v>
      </c>
    </row>
    <row r="45" spans="2:22">
      <c r="B45" s="123"/>
      <c r="K45" s="326"/>
      <c r="L45" s="326"/>
      <c r="M45" s="326"/>
      <c r="N45" s="326"/>
    </row>
    <row r="46" spans="2:22" ht="17.100000000000001">
      <c r="B46" s="280" t="s">
        <v>22</v>
      </c>
      <c r="C46" s="286"/>
      <c r="D46" s="286"/>
      <c r="E46" s="286"/>
      <c r="F46" s="286"/>
      <c r="G46" s="286"/>
      <c r="H46" s="286"/>
      <c r="I46" s="319"/>
      <c r="J46" s="319"/>
      <c r="K46" s="321" t="str">
        <f>K7</f>
        <v>Affordable Housing</v>
      </c>
      <c r="L46" s="321" t="str">
        <f t="shared" ref="L46:P46" si="26">L7</f>
        <v>Market Housing</v>
      </c>
      <c r="M46" s="321" t="str">
        <f t="shared" si="26"/>
        <v>Office</v>
      </c>
      <c r="N46" s="321" t="str">
        <f t="shared" si="26"/>
        <v>Retail</v>
      </c>
      <c r="O46" s="321" t="str">
        <f t="shared" si="26"/>
        <v>Structured Parking</v>
      </c>
      <c r="P46" s="309"/>
    </row>
    <row r="47" spans="2:22">
      <c r="B47" s="123" t="s">
        <v>235</v>
      </c>
      <c r="E47" s="147">
        <f>$H$47/3</f>
        <v>166666.66666666666</v>
      </c>
      <c r="F47" s="147">
        <f t="shared" ref="F47:G47" si="27">$H$47/3</f>
        <v>166666.66666666666</v>
      </c>
      <c r="G47" s="147">
        <f t="shared" si="27"/>
        <v>166666.66666666666</v>
      </c>
      <c r="H47" s="147">
        <v>500000</v>
      </c>
      <c r="I47" s="147"/>
      <c r="K47" s="322">
        <f>$E47*K$2+$F47*K$3+$G47*K$4</f>
        <v>84916.547413919732</v>
      </c>
      <c r="L47" s="322">
        <f t="shared" ref="L47:O48" si="28">$E47*L$2+$F47*L$3+$G47*L$4</f>
        <v>180756.15107521878</v>
      </c>
      <c r="M47" s="322">
        <f t="shared" si="28"/>
        <v>103047.15813220659</v>
      </c>
      <c r="N47" s="322">
        <f t="shared" si="28"/>
        <v>40374.130522056977</v>
      </c>
      <c r="O47" s="322">
        <f t="shared" si="28"/>
        <v>90906.012856597867</v>
      </c>
    </row>
    <row r="48" spans="2:22">
      <c r="B48" s="123" t="s">
        <v>236</v>
      </c>
      <c r="E48" s="147">
        <f>$H$48/3</f>
        <v>166666.66666666666</v>
      </c>
      <c r="F48" s="147">
        <f t="shared" ref="F48:G48" si="29">$H$48/3</f>
        <v>166666.66666666666</v>
      </c>
      <c r="G48" s="147">
        <f t="shared" si="29"/>
        <v>166666.66666666666</v>
      </c>
      <c r="H48" s="147">
        <v>500000</v>
      </c>
      <c r="I48" s="147"/>
      <c r="K48" s="322">
        <f>$E48*K$2+$F48*K$3+$G48*K$4</f>
        <v>84916.547413919732</v>
      </c>
      <c r="L48" s="322">
        <f t="shared" si="28"/>
        <v>180756.15107521878</v>
      </c>
      <c r="M48" s="322">
        <f t="shared" si="28"/>
        <v>103047.15813220659</v>
      </c>
      <c r="N48" s="322">
        <f t="shared" si="28"/>
        <v>40374.130522056977</v>
      </c>
      <c r="O48" s="322">
        <f t="shared" si="28"/>
        <v>90906.012856597867</v>
      </c>
    </row>
    <row r="49" spans="2:16">
      <c r="B49" s="158" t="s">
        <v>237</v>
      </c>
      <c r="C49" s="151"/>
      <c r="D49" s="151"/>
      <c r="E49" s="152">
        <f>SUM(E47:E48)</f>
        <v>333333.33333333331</v>
      </c>
      <c r="F49" s="152">
        <f t="shared" ref="F49:H49" si="30">SUM(F47:F48)</f>
        <v>333333.33333333331</v>
      </c>
      <c r="G49" s="152">
        <f t="shared" si="30"/>
        <v>333333.33333333331</v>
      </c>
      <c r="H49" s="152">
        <f t="shared" si="30"/>
        <v>1000000</v>
      </c>
      <c r="I49" s="147"/>
      <c r="K49" s="323">
        <f>SUM(K47:K48)</f>
        <v>169833.09482783946</v>
      </c>
      <c r="L49" s="323">
        <f t="shared" ref="L49:O49" si="31">SUM(L47:L48)</f>
        <v>361512.30215043755</v>
      </c>
      <c r="M49" s="323">
        <f t="shared" si="31"/>
        <v>206094.31626441318</v>
      </c>
      <c r="N49" s="323">
        <f t="shared" si="31"/>
        <v>80748.261044113955</v>
      </c>
      <c r="O49" s="323">
        <f t="shared" si="31"/>
        <v>181812.02571319573</v>
      </c>
    </row>
    <row r="50" spans="2:16">
      <c r="B50" s="123"/>
      <c r="K50" s="326"/>
      <c r="L50" s="326"/>
      <c r="M50" s="326"/>
      <c r="N50" s="326"/>
    </row>
    <row r="51" spans="2:16" ht="17.100000000000001">
      <c r="B51" s="280" t="s">
        <v>238</v>
      </c>
      <c r="C51" s="286"/>
      <c r="D51" s="286"/>
      <c r="E51" s="286"/>
      <c r="F51" s="286"/>
      <c r="G51" s="286"/>
      <c r="H51" s="286"/>
      <c r="I51" s="319"/>
      <c r="J51" s="319"/>
      <c r="K51" s="321" t="str">
        <f>K46</f>
        <v>Affordable Housing</v>
      </c>
      <c r="L51" s="321" t="str">
        <f t="shared" ref="L51:P51" si="32">L46</f>
        <v>Market Housing</v>
      </c>
      <c r="M51" s="321" t="str">
        <f t="shared" si="32"/>
        <v>Office</v>
      </c>
      <c r="N51" s="321" t="str">
        <f t="shared" si="32"/>
        <v>Retail</v>
      </c>
      <c r="O51" s="321" t="str">
        <f t="shared" si="32"/>
        <v>Structured Parking</v>
      </c>
      <c r="P51" s="320"/>
    </row>
    <row r="52" spans="2:16">
      <c r="B52" s="123" t="s">
        <v>238</v>
      </c>
      <c r="D52" s="88">
        <v>0.03</v>
      </c>
      <c r="E52" s="147">
        <f ca="1">(E49+E37+E33+E19)*D52</f>
        <v>10404465.040311985</v>
      </c>
      <c r="F52" s="147">
        <f ca="1">(F49+F37+F33+F19)*D52</f>
        <v>12868673.082512554</v>
      </c>
      <c r="G52" s="147">
        <f ca="1">(G49+G37+G33+G19)*D52</f>
        <v>8247384.825298354</v>
      </c>
      <c r="H52" s="147">
        <f ca="1">SUM(E52:G52)</f>
        <v>31520522.948122893</v>
      </c>
      <c r="I52" s="147"/>
      <c r="K52" s="322">
        <f ca="1">$E52*K$2+$F52*K$3+$G52*K$4</f>
        <v>5237028.0492035095</v>
      </c>
      <c r="L52" s="322">
        <f t="shared" ref="L52:O52" ca="1" si="33">$E52*L$2+$F52*L$3+$G52*L$4</f>
        <v>11129203.767047234</v>
      </c>
      <c r="M52" s="322">
        <f t="shared" ca="1" si="33"/>
        <v>6235827.3398242369</v>
      </c>
      <c r="N52" s="322">
        <f t="shared" ca="1" si="33"/>
        <v>2533575.8898214055</v>
      </c>
      <c r="O52" s="322">
        <f t="shared" ca="1" si="33"/>
        <v>6384887.9022265058</v>
      </c>
    </row>
    <row r="53" spans="2:16">
      <c r="B53" s="158" t="s">
        <v>239</v>
      </c>
      <c r="C53" s="151"/>
      <c r="D53" s="151"/>
      <c r="E53" s="152">
        <f ca="1">E52</f>
        <v>10404465.040311985</v>
      </c>
      <c r="F53" s="152">
        <f t="shared" ref="F53:H53" ca="1" si="34">F52</f>
        <v>12868673.082512554</v>
      </c>
      <c r="G53" s="152">
        <f t="shared" ca="1" si="34"/>
        <v>8247384.825298354</v>
      </c>
      <c r="H53" s="152">
        <f t="shared" ca="1" si="34"/>
        <v>31520522.948122893</v>
      </c>
      <c r="I53" s="147"/>
      <c r="K53" s="327">
        <f ca="1">K52</f>
        <v>5237028.0492035095</v>
      </c>
      <c r="L53" s="327">
        <f t="shared" ref="L53:O53" ca="1" si="35">L52</f>
        <v>11129203.767047234</v>
      </c>
      <c r="M53" s="327">
        <f t="shared" ca="1" si="35"/>
        <v>6235827.3398242369</v>
      </c>
      <c r="N53" s="327">
        <f t="shared" ca="1" si="35"/>
        <v>2533575.8898214055</v>
      </c>
      <c r="O53" s="327">
        <f t="shared" ca="1" si="35"/>
        <v>6384887.9022265058</v>
      </c>
    </row>
    <row r="54" spans="2:16">
      <c r="B54" s="159"/>
      <c r="C54" s="151"/>
      <c r="D54" s="151"/>
      <c r="E54" s="151"/>
      <c r="F54" s="151"/>
      <c r="G54" s="151"/>
      <c r="H54" s="157"/>
      <c r="I54" s="226"/>
      <c r="K54" s="308"/>
      <c r="L54" s="308"/>
      <c r="M54" s="308"/>
      <c r="N54" s="308"/>
    </row>
    <row r="55" spans="2:16">
      <c r="B55" s="158" t="s">
        <v>240</v>
      </c>
      <c r="C55" s="151"/>
      <c r="D55" s="151"/>
      <c r="E55" s="152">
        <f ca="1">E53+E49+E44+E37+E33+E19+E9</f>
        <v>438948722.07693827</v>
      </c>
      <c r="F55" s="152">
        <f ca="1">F53+F49+F44+F37+F33+F19+F9</f>
        <v>487731310.65395045</v>
      </c>
      <c r="G55" s="152">
        <f ca="1">G53+G49+G44+G37+G33+G19+G9</f>
        <v>327340558.28659946</v>
      </c>
      <c r="H55" s="152">
        <f ca="1">H53+H49+H44+H37+H33+H19+H9</f>
        <v>1254020591.017488</v>
      </c>
      <c r="I55" s="147"/>
      <c r="K55" s="322">
        <f ca="1">K53+K49+K44+K37+K33+K19+K9</f>
        <v>216852399.02003655</v>
      </c>
      <c r="L55" s="322">
        <f t="shared" ref="L55:O55" ca="1" si="36">L53+L49+L44+L37+L33+L19+L9</f>
        <v>511077014.43152463</v>
      </c>
      <c r="M55" s="322">
        <f t="shared" ca="1" si="36"/>
        <v>302355177.65246266</v>
      </c>
      <c r="N55" s="322">
        <f t="shared" ca="1" si="36"/>
        <v>78977287.983108297</v>
      </c>
      <c r="O55" s="322">
        <f t="shared" ca="1" si="36"/>
        <v>144758711.930356</v>
      </c>
    </row>
    <row r="56" spans="2:16">
      <c r="B56" s="158" t="s">
        <v>241</v>
      </c>
      <c r="C56" s="151"/>
      <c r="D56" s="151"/>
      <c r="E56" s="152">
        <f ca="1">E55-(E15*(1+D36)+E30*(1+D36))</f>
        <v>438948722.07693827</v>
      </c>
      <c r="F56" s="152">
        <f ca="1">F55-(F15*(1+D36)+F30*(1+D36))</f>
        <v>487731310.65395045</v>
      </c>
      <c r="G56" s="152">
        <f ca="1">G55-(G15*(1+D36)+G30*(1+D36))</f>
        <v>327340558.28659946</v>
      </c>
      <c r="H56" s="152">
        <f ca="1">SUM(E56:G56)</f>
        <v>1254020591.0174882</v>
      </c>
      <c r="I56" s="147"/>
    </row>
    <row r="57" spans="2:16" ht="18" thickBot="1">
      <c r="K57" s="321" t="str">
        <f>K51</f>
        <v>Affordable Housing</v>
      </c>
      <c r="L57" s="321" t="str">
        <f t="shared" ref="L57:O57" si="37">L51</f>
        <v>Market Housing</v>
      </c>
      <c r="M57" s="321" t="str">
        <f t="shared" si="37"/>
        <v>Office</v>
      </c>
      <c r="N57" s="321" t="str">
        <f t="shared" si="37"/>
        <v>Retail</v>
      </c>
      <c r="O57" s="321" t="str">
        <f t="shared" si="37"/>
        <v>Structured Parking</v>
      </c>
    </row>
    <row r="58" spans="2:16">
      <c r="J58" s="332" t="s">
        <v>242</v>
      </c>
      <c r="K58" s="333">
        <f ca="1">(K53+K49+K44+K37+K33+K19+K9)/Assumptions!V18</f>
        <v>575.16940483362271</v>
      </c>
      <c r="L58" s="333">
        <f ca="1">(L53+L49+L44+L37+L33+L19+L9)/Assumptions!V11</f>
        <v>641.35154752191329</v>
      </c>
      <c r="M58" s="333">
        <f ca="1">(M53+M49+M44+M37+M33+M19+M9)/Assumptions!V28</f>
        <v>678.25620932849722</v>
      </c>
      <c r="N58" s="333">
        <f ca="1">(N53+N49+N44+N37+N33+N19+N9)/Assumptions!V33</f>
        <v>429.43900340815134</v>
      </c>
      <c r="O58" s="334">
        <f ca="1">(O53+O49+O44+O37+O33+O19+O9)/Assumptions!V36</f>
        <v>289.51742386071197</v>
      </c>
    </row>
    <row r="59" spans="2:16">
      <c r="J59" s="335" t="s">
        <v>243</v>
      </c>
      <c r="K59" s="330">
        <f ca="1">K33/Assumptions!V18</f>
        <v>373.28307539826375</v>
      </c>
      <c r="L59" s="330">
        <f ca="1">L33/Assumptions!V11</f>
        <v>444.67268834645637</v>
      </c>
      <c r="M59" s="330">
        <f ca="1">M33/Assumptions!V28</f>
        <v>464.94567299310233</v>
      </c>
      <c r="N59" s="330">
        <f ca="1">N33/Assumptions!V33</f>
        <v>235.14028594530555</v>
      </c>
      <c r="O59" s="336">
        <f ca="1">O33/Assumptions!V36</f>
        <v>103.19137019505405</v>
      </c>
    </row>
    <row r="60" spans="2:16">
      <c r="J60" s="335" t="s">
        <v>244</v>
      </c>
      <c r="K60" s="330">
        <f ca="1">(K53+K49+K44+K37+K33+K19+K9)/Assumptions!V14</f>
        <v>453666.10673647816</v>
      </c>
      <c r="L60" s="330">
        <f ca="1">(L53+L49+L44+L37+L33+L19+L9)/Assumptions!V7</f>
        <v>601267.07580179372</v>
      </c>
      <c r="M60" s="331"/>
      <c r="N60" s="330"/>
      <c r="O60" s="336">
        <f ca="1">(O53+O49+O44+O37+O33+O19+O9)/Assumptions!V37</f>
        <v>115806.9695442848</v>
      </c>
    </row>
    <row r="61" spans="2:16" ht="17.100000000000001" thickBot="1">
      <c r="J61" s="337" t="s">
        <v>245</v>
      </c>
      <c r="K61" s="338">
        <f ca="1">K33/Assumptions!V14</f>
        <v>294427.82961575582</v>
      </c>
      <c r="L61" s="338">
        <f ca="1">L33/Assumptions!V7</f>
        <v>416880.64532480284</v>
      </c>
      <c r="M61" s="338"/>
      <c r="N61" s="338"/>
      <c r="O61" s="339">
        <f ca="1">O33/Assumptions!V37</f>
        <v>41276.548078021624</v>
      </c>
    </row>
    <row r="62" spans="2:16">
      <c r="K62" s="308"/>
      <c r="L62" s="308"/>
      <c r="M62" s="308"/>
      <c r="N62" s="308"/>
    </row>
    <row r="63" spans="2:16">
      <c r="K63" s="308"/>
      <c r="L63" s="308"/>
      <c r="M63" s="308"/>
      <c r="N63" s="308"/>
    </row>
    <row r="64" spans="2:16">
      <c r="K64" s="123"/>
      <c r="L64" s="123"/>
      <c r="M64" s="123"/>
      <c r="N64" s="123"/>
    </row>
    <row r="65" spans="11:14">
      <c r="K65" s="309"/>
      <c r="L65" s="309"/>
      <c r="M65" s="309"/>
      <c r="N65" s="309"/>
    </row>
    <row r="66" spans="11:14">
      <c r="K66" s="308"/>
      <c r="L66" s="308"/>
      <c r="M66" s="308"/>
      <c r="N66" s="308"/>
    </row>
    <row r="67" spans="11:14">
      <c r="K67" s="308"/>
      <c r="L67" s="308"/>
      <c r="M67" s="308"/>
      <c r="N67" s="308"/>
    </row>
    <row r="68" spans="11:14">
      <c r="K68" s="123"/>
      <c r="L68" s="123"/>
      <c r="M68" s="123"/>
      <c r="N68" s="123"/>
    </row>
    <row r="69" spans="11:14">
      <c r="K69" s="308"/>
      <c r="L69" s="308"/>
      <c r="M69" s="308"/>
      <c r="N69" s="308"/>
    </row>
  </sheetData>
  <pageMargins left="0.7" right="0.7" top="0.75" bottom="0.75" header="0.3" footer="0.3"/>
  <pageSetup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3D941-7F0C-6B4D-A14F-C25E41C5843F}">
  <sheetPr>
    <tabColor rgb="FF00B0F0"/>
  </sheetPr>
  <dimension ref="A1:Z53"/>
  <sheetViews>
    <sheetView workbookViewId="0">
      <selection activeCell="M1" sqref="M1"/>
    </sheetView>
  </sheetViews>
  <sheetFormatPr defaultColWidth="10.875" defaultRowHeight="15.95"/>
  <cols>
    <col min="1" max="1" width="18.375" style="1" bestFit="1" customWidth="1"/>
    <col min="2" max="3" width="21.125" style="1" bestFit="1" customWidth="1"/>
    <col min="4" max="8" width="10.875" style="1"/>
    <col min="9" max="9" width="20.875" style="1" bestFit="1" customWidth="1"/>
    <col min="10" max="11" width="11" style="1" bestFit="1" customWidth="1"/>
    <col min="12" max="12" width="10.625" style="1" bestFit="1" customWidth="1"/>
    <col min="13" max="13" width="14.375" style="1" bestFit="1" customWidth="1"/>
    <col min="14" max="23" width="10.875" style="1"/>
    <col min="24" max="24" width="24.375" style="1" bestFit="1" customWidth="1"/>
    <col min="25" max="25" width="15.375" style="1" bestFit="1" customWidth="1"/>
    <col min="26" max="16384" width="10.875" style="1"/>
  </cols>
  <sheetData>
    <row r="1" spans="1:26">
      <c r="A1" s="1" t="s">
        <v>246</v>
      </c>
      <c r="B1" s="34">
        <v>0.8</v>
      </c>
      <c r="C1" s="76"/>
      <c r="M1" s="76" t="s">
        <v>206</v>
      </c>
    </row>
    <row r="2" spans="1:26">
      <c r="A2" s="1" t="s">
        <v>247</v>
      </c>
      <c r="B2" s="34">
        <v>0.85</v>
      </c>
    </row>
    <row r="3" spans="1:26">
      <c r="B3" s="35"/>
    </row>
    <row r="5" spans="1:26">
      <c r="C5" s="55" t="s">
        <v>91</v>
      </c>
      <c r="D5" s="55" t="s">
        <v>93</v>
      </c>
      <c r="E5" s="55" t="s">
        <v>94</v>
      </c>
    </row>
    <row r="6" spans="1:26">
      <c r="A6" s="36"/>
      <c r="B6" s="36" t="s">
        <v>248</v>
      </c>
      <c r="C6" s="213">
        <v>200</v>
      </c>
      <c r="D6" s="213">
        <v>400</v>
      </c>
      <c r="E6" s="213">
        <v>250</v>
      </c>
      <c r="G6" s="49"/>
      <c r="H6" s="37"/>
    </row>
    <row r="7" spans="1:26">
      <c r="A7" s="36"/>
      <c r="B7" s="1" t="s">
        <v>140</v>
      </c>
      <c r="C7" s="214">
        <v>25</v>
      </c>
      <c r="D7" s="214">
        <v>30</v>
      </c>
      <c r="E7" s="214">
        <v>25</v>
      </c>
      <c r="G7" s="49"/>
      <c r="H7" s="37"/>
    </row>
    <row r="8" spans="1:26">
      <c r="A8" s="36"/>
      <c r="B8" s="1" t="s">
        <v>141</v>
      </c>
      <c r="C8" s="212">
        <f>Assumptions!$F$4</f>
        <v>46387</v>
      </c>
      <c r="D8" s="212">
        <f>Assumptions!$F$5</f>
        <v>47118</v>
      </c>
      <c r="E8" s="212">
        <f>Assumptions!$F$6</f>
        <v>47848</v>
      </c>
      <c r="G8" s="49"/>
      <c r="H8" s="37"/>
    </row>
    <row r="9" spans="1:26">
      <c r="B9" s="1" t="s">
        <v>142</v>
      </c>
      <c r="C9" s="89">
        <f>C6/C7</f>
        <v>8</v>
      </c>
      <c r="D9" s="89">
        <f>D6/D7</f>
        <v>13.333333333333334</v>
      </c>
      <c r="E9" s="89">
        <f>E6/E7</f>
        <v>10</v>
      </c>
      <c r="Y9" s="1" t="s">
        <v>249</v>
      </c>
      <c r="Z9" s="1" t="s">
        <v>250</v>
      </c>
    </row>
    <row r="10" spans="1:26" ht="18.95">
      <c r="B10" s="1" t="s">
        <v>89</v>
      </c>
      <c r="C10" s="212">
        <f>EOMONTH(C8,C9)</f>
        <v>46630</v>
      </c>
      <c r="D10" s="212">
        <f t="shared" ref="D10:E10" si="0">EOMONTH(D8,D9)</f>
        <v>47514</v>
      </c>
      <c r="E10" s="212">
        <f t="shared" si="0"/>
        <v>48152</v>
      </c>
      <c r="G10" s="38"/>
      <c r="H10" s="39"/>
      <c r="I10" s="38"/>
      <c r="J10" s="478" t="s">
        <v>251</v>
      </c>
      <c r="K10" s="478"/>
      <c r="L10" s="478"/>
      <c r="M10" s="478"/>
      <c r="X10" s="1" t="s">
        <v>252</v>
      </c>
      <c r="Y10" s="1">
        <v>309100</v>
      </c>
      <c r="Z10" s="46"/>
    </row>
    <row r="11" spans="1:26">
      <c r="C11" s="54"/>
      <c r="D11" s="54"/>
      <c r="E11" s="54"/>
      <c r="J11" s="23" t="s">
        <v>253</v>
      </c>
      <c r="K11" s="23" t="s">
        <v>107</v>
      </c>
      <c r="L11" s="23" t="s">
        <v>108</v>
      </c>
      <c r="M11" s="23" t="s">
        <v>109</v>
      </c>
    </row>
    <row r="12" spans="1:26">
      <c r="A12" s="51"/>
      <c r="C12" s="55" t="s">
        <v>91</v>
      </c>
      <c r="D12" s="55" t="s">
        <v>93</v>
      </c>
      <c r="E12" s="55" t="s">
        <v>94</v>
      </c>
      <c r="I12" s="1" t="s">
        <v>111</v>
      </c>
      <c r="J12" s="214">
        <v>200</v>
      </c>
      <c r="K12" s="214">
        <v>200</v>
      </c>
      <c r="L12" s="214">
        <v>200</v>
      </c>
      <c r="M12" s="214">
        <v>200</v>
      </c>
      <c r="X12" s="1" t="s">
        <v>254</v>
      </c>
      <c r="Y12" s="1">
        <v>14</v>
      </c>
    </row>
    <row r="13" spans="1:26">
      <c r="A13" s="53"/>
      <c r="B13" s="1" t="s">
        <v>255</v>
      </c>
      <c r="C13" s="89">
        <f>C34</f>
        <v>200</v>
      </c>
      <c r="D13" s="89">
        <f t="shared" ref="D13:E13" si="1">D34</f>
        <v>171</v>
      </c>
      <c r="E13" s="89">
        <f t="shared" si="1"/>
        <v>107</v>
      </c>
      <c r="I13" s="1" t="s">
        <v>99</v>
      </c>
      <c r="J13" s="214">
        <v>500</v>
      </c>
      <c r="K13" s="214">
        <v>500</v>
      </c>
      <c r="L13" s="214">
        <v>500</v>
      </c>
      <c r="M13" s="214">
        <v>500</v>
      </c>
      <c r="X13" s="1" t="s">
        <v>256</v>
      </c>
      <c r="Y13" s="1">
        <v>90</v>
      </c>
    </row>
    <row r="14" spans="1:26">
      <c r="A14" s="53"/>
      <c r="B14" s="1" t="s">
        <v>140</v>
      </c>
      <c r="C14" s="211">
        <v>30</v>
      </c>
      <c r="D14" s="211">
        <v>30</v>
      </c>
      <c r="E14" s="211">
        <v>30</v>
      </c>
      <c r="I14" s="1" t="s">
        <v>100</v>
      </c>
      <c r="J14" s="214">
        <v>700</v>
      </c>
      <c r="K14" s="214">
        <v>700</v>
      </c>
      <c r="L14" s="214">
        <v>700</v>
      </c>
      <c r="M14" s="214">
        <v>700</v>
      </c>
      <c r="X14" s="1" t="s">
        <v>257</v>
      </c>
      <c r="Y14" s="1">
        <v>15000</v>
      </c>
    </row>
    <row r="15" spans="1:26">
      <c r="A15" s="53"/>
      <c r="B15" s="1" t="s">
        <v>141</v>
      </c>
      <c r="C15" s="212">
        <f>Assumptions!$F$4</f>
        <v>46387</v>
      </c>
      <c r="D15" s="212">
        <f>Assumptions!$F$5</f>
        <v>47118</v>
      </c>
      <c r="E15" s="212">
        <f>Assumptions!$F$6</f>
        <v>47848</v>
      </c>
      <c r="I15" s="1" t="s">
        <v>101</v>
      </c>
      <c r="J15" s="214">
        <v>900</v>
      </c>
      <c r="K15" s="214">
        <v>750</v>
      </c>
      <c r="L15" s="214">
        <v>750</v>
      </c>
      <c r="M15" s="214">
        <v>750</v>
      </c>
      <c r="X15" s="1" t="s">
        <v>258</v>
      </c>
      <c r="Y15" s="1" t="s">
        <v>259</v>
      </c>
    </row>
    <row r="16" spans="1:26">
      <c r="A16" s="51"/>
      <c r="B16" s="1" t="s">
        <v>142</v>
      </c>
      <c r="C16" s="89">
        <f>C13/C14</f>
        <v>6.666666666666667</v>
      </c>
      <c r="D16" s="89">
        <f>D13/D14</f>
        <v>5.7</v>
      </c>
      <c r="E16" s="89">
        <f>E13/E14</f>
        <v>3.5666666666666669</v>
      </c>
      <c r="I16" s="1" t="s">
        <v>102</v>
      </c>
      <c r="J16" s="214">
        <v>1100</v>
      </c>
      <c r="K16" s="214">
        <v>900</v>
      </c>
      <c r="L16" s="214">
        <v>900</v>
      </c>
      <c r="M16" s="214">
        <v>900</v>
      </c>
      <c r="X16" s="1" t="s">
        <v>260</v>
      </c>
      <c r="Y16" s="1" t="s">
        <v>261</v>
      </c>
    </row>
    <row r="17" spans="2:26">
      <c r="B17" s="1" t="s">
        <v>89</v>
      </c>
      <c r="C17" s="212">
        <f>EOMONTH(C15,C16)</f>
        <v>46568</v>
      </c>
      <c r="D17" s="212">
        <f t="shared" ref="D17" si="2">EOMONTH(D15,D16)</f>
        <v>47269</v>
      </c>
      <c r="E17" s="212">
        <f t="shared" ref="E17" si="3">EOMONTH(E15,E16)</f>
        <v>47938</v>
      </c>
      <c r="J17" s="54"/>
      <c r="K17" s="54"/>
      <c r="L17" s="54"/>
      <c r="M17" s="54"/>
    </row>
    <row r="18" spans="2:26">
      <c r="F18" s="37"/>
      <c r="J18" s="478" t="s">
        <v>262</v>
      </c>
      <c r="K18" s="478"/>
      <c r="L18" s="478"/>
      <c r="M18" s="478"/>
      <c r="X18" s="1" t="s">
        <v>263</v>
      </c>
      <c r="Y18" s="34">
        <v>0.5</v>
      </c>
    </row>
    <row r="19" spans="2:26">
      <c r="C19" s="478" t="s">
        <v>264</v>
      </c>
      <c r="D19" s="478"/>
      <c r="E19" s="478"/>
      <c r="J19" s="23" t="s">
        <v>253</v>
      </c>
      <c r="K19" s="23" t="s">
        <v>107</v>
      </c>
      <c r="L19" s="23" t="s">
        <v>108</v>
      </c>
      <c r="M19" s="23" t="s">
        <v>109</v>
      </c>
      <c r="X19" s="1" t="s">
        <v>265</v>
      </c>
      <c r="Y19" s="34">
        <v>0.4</v>
      </c>
    </row>
    <row r="20" spans="2:26">
      <c r="B20" s="50" t="s">
        <v>266</v>
      </c>
      <c r="C20" s="23" t="s">
        <v>91</v>
      </c>
      <c r="D20" s="23" t="s">
        <v>93</v>
      </c>
      <c r="E20" s="23" t="s">
        <v>94</v>
      </c>
      <c r="F20" s="23" t="s">
        <v>267</v>
      </c>
      <c r="I20" s="1" t="s">
        <v>111</v>
      </c>
      <c r="J20" s="86">
        <v>0</v>
      </c>
      <c r="K20" s="86">
        <v>0</v>
      </c>
      <c r="L20" s="215">
        <v>0</v>
      </c>
      <c r="M20" s="86">
        <v>1</v>
      </c>
      <c r="X20" s="1" t="s">
        <v>268</v>
      </c>
      <c r="Y20" s="34">
        <v>0.05</v>
      </c>
    </row>
    <row r="21" spans="2:26">
      <c r="B21" s="50" t="s">
        <v>253</v>
      </c>
      <c r="C21" s="86">
        <v>0.5</v>
      </c>
      <c r="D21" s="86">
        <v>0.7</v>
      </c>
      <c r="E21" s="86">
        <v>0.7</v>
      </c>
      <c r="F21" s="84">
        <f>AVERAGE(C21:E21)</f>
        <v>0.6333333333333333</v>
      </c>
      <c r="I21" s="1" t="s">
        <v>99</v>
      </c>
      <c r="J21" s="86">
        <v>0.1</v>
      </c>
      <c r="K21" s="86">
        <v>0</v>
      </c>
      <c r="L21" s="215">
        <v>0</v>
      </c>
      <c r="M21" s="215">
        <v>0</v>
      </c>
      <c r="X21" s="1" t="s">
        <v>269</v>
      </c>
      <c r="Y21" s="34">
        <v>0.05</v>
      </c>
    </row>
    <row r="22" spans="2:26">
      <c r="B22" s="50" t="s">
        <v>107</v>
      </c>
      <c r="C22" s="86">
        <v>0.2</v>
      </c>
      <c r="D22" s="86">
        <v>0.2</v>
      </c>
      <c r="E22" s="86">
        <v>0.2</v>
      </c>
      <c r="F22" s="84">
        <f>AVERAGE(C22:E22)</f>
        <v>0.20000000000000004</v>
      </c>
      <c r="I22" s="1" t="s">
        <v>100</v>
      </c>
      <c r="J22" s="86">
        <v>0.6</v>
      </c>
      <c r="K22" s="86">
        <v>0</v>
      </c>
      <c r="L22" s="215">
        <v>0</v>
      </c>
      <c r="M22" s="215">
        <v>0</v>
      </c>
    </row>
    <row r="23" spans="2:26">
      <c r="B23" s="50" t="s">
        <v>108</v>
      </c>
      <c r="C23" s="86">
        <v>0.1</v>
      </c>
      <c r="D23" s="86">
        <v>0.1</v>
      </c>
      <c r="E23" s="86">
        <v>0.1</v>
      </c>
      <c r="F23" s="84">
        <f>AVERAGE(C23:E23)</f>
        <v>0.10000000000000002</v>
      </c>
      <c r="I23" s="1" t="s">
        <v>101</v>
      </c>
      <c r="J23" s="86">
        <v>0.25</v>
      </c>
      <c r="K23" s="86">
        <v>0.9</v>
      </c>
      <c r="L23" s="86">
        <v>0.9</v>
      </c>
      <c r="M23" s="215">
        <v>0</v>
      </c>
      <c r="X23" s="1" t="s">
        <v>270</v>
      </c>
      <c r="Y23" s="1">
        <f>Y10*Y12</f>
        <v>4327400</v>
      </c>
    </row>
    <row r="24" spans="2:26">
      <c r="B24" s="50" t="s">
        <v>109</v>
      </c>
      <c r="C24" s="92">
        <v>0.2</v>
      </c>
      <c r="D24" s="92">
        <v>0</v>
      </c>
      <c r="E24" s="92">
        <v>0</v>
      </c>
      <c r="F24" s="93">
        <f>AVERAGE(C24:E24)</f>
        <v>6.6666666666666666E-2</v>
      </c>
      <c r="I24" s="1" t="s">
        <v>102</v>
      </c>
      <c r="J24" s="86">
        <v>0.05</v>
      </c>
      <c r="K24" s="86">
        <v>0.1</v>
      </c>
      <c r="L24" s="86">
        <v>0.1</v>
      </c>
      <c r="M24" s="215">
        <v>0</v>
      </c>
      <c r="X24" s="1" t="s">
        <v>271</v>
      </c>
      <c r="Y24" s="47">
        <f>Y10/Y13*Y18</f>
        <v>1717.2222222222222</v>
      </c>
    </row>
    <row r="25" spans="2:26">
      <c r="B25" s="50" t="s">
        <v>272</v>
      </c>
      <c r="C25" s="95">
        <f>SUM(C22:C24)</f>
        <v>0.5</v>
      </c>
      <c r="D25" s="95">
        <f t="shared" ref="D25:E25" si="4">SUM(D22:D24)</f>
        <v>0.30000000000000004</v>
      </c>
      <c r="E25" s="95">
        <f t="shared" si="4"/>
        <v>0.30000000000000004</v>
      </c>
      <c r="F25" s="96">
        <f>AVERAGE(C25:E25)</f>
        <v>0.3666666666666667</v>
      </c>
    </row>
    <row r="26" spans="2:26">
      <c r="B26" s="50" t="s">
        <v>54</v>
      </c>
      <c r="C26" s="85">
        <f>SUM(C21:C24)</f>
        <v>1</v>
      </c>
      <c r="D26" s="85">
        <f t="shared" ref="D26:E26" si="5">SUM(D21:D24)</f>
        <v>0.99999999999999989</v>
      </c>
      <c r="E26" s="85">
        <f t="shared" si="5"/>
        <v>0.99999999999999989</v>
      </c>
      <c r="I26" s="76" t="s">
        <v>273</v>
      </c>
      <c r="J26" s="23">
        <f>J20*J12+J13*J21+J14*J22+J15*J23+J16*J24</f>
        <v>750</v>
      </c>
      <c r="K26" s="23">
        <f t="shared" ref="K26:M26" si="6">K20*K12+K13*K21+K14*K22+K15*K23+K16*K24</f>
        <v>765</v>
      </c>
      <c r="L26" s="23">
        <f t="shared" si="6"/>
        <v>765</v>
      </c>
      <c r="M26" s="23">
        <f t="shared" si="6"/>
        <v>200</v>
      </c>
      <c r="X26" s="1" t="s">
        <v>274</v>
      </c>
      <c r="Y26" s="1" t="s">
        <v>275</v>
      </c>
      <c r="Z26" s="1" t="s">
        <v>96</v>
      </c>
    </row>
    <row r="27" spans="2:26">
      <c r="C27" s="42"/>
      <c r="D27" s="43"/>
      <c r="X27" s="1">
        <f>Y27*12</f>
        <v>156</v>
      </c>
      <c r="Y27" s="1">
        <v>13</v>
      </c>
      <c r="Z27" s="1" t="e">
        <f>ROUND(Y27*Y14*0.9/#REF!,0)</f>
        <v>#REF!</v>
      </c>
    </row>
    <row r="28" spans="2:26">
      <c r="C28" s="478" t="s">
        <v>276</v>
      </c>
      <c r="D28" s="478"/>
      <c r="E28" s="478"/>
      <c r="J28" s="478" t="s">
        <v>277</v>
      </c>
      <c r="K28" s="478"/>
      <c r="L28" s="478"/>
      <c r="M28" s="478"/>
    </row>
    <row r="29" spans="2:26">
      <c r="B29" s="50" t="s">
        <v>266</v>
      </c>
      <c r="C29" s="23" t="s">
        <v>91</v>
      </c>
      <c r="D29" s="23" t="s">
        <v>93</v>
      </c>
      <c r="E29" s="23" t="s">
        <v>94</v>
      </c>
      <c r="I29" s="76" t="s">
        <v>91</v>
      </c>
      <c r="J29" s="23" t="s">
        <v>253</v>
      </c>
      <c r="K29" s="23" t="s">
        <v>107</v>
      </c>
      <c r="L29" s="23" t="s">
        <v>108</v>
      </c>
      <c r="M29" s="23" t="s">
        <v>109</v>
      </c>
      <c r="N29" s="23" t="s">
        <v>54</v>
      </c>
      <c r="X29" s="1" t="s">
        <v>278</v>
      </c>
    </row>
    <row r="30" spans="2:26">
      <c r="B30" s="50" t="s">
        <v>253</v>
      </c>
      <c r="C30" s="52">
        <f>C6</f>
        <v>200</v>
      </c>
      <c r="D30" s="52">
        <f>D6</f>
        <v>400</v>
      </c>
      <c r="E30" s="52">
        <f>E6</f>
        <v>250</v>
      </c>
      <c r="I30" s="1" t="s">
        <v>111</v>
      </c>
      <c r="J30" s="52">
        <f>J20*$C$30</f>
        <v>0</v>
      </c>
      <c r="K30" s="52">
        <f>K20*$C$31</f>
        <v>0</v>
      </c>
      <c r="L30" s="52">
        <f>L20*$C$32</f>
        <v>0</v>
      </c>
      <c r="M30" s="52">
        <f>M20*$C$33</f>
        <v>80</v>
      </c>
      <c r="N30" s="89">
        <f>SUM(J30:M30)</f>
        <v>80</v>
      </c>
      <c r="X30" s="1">
        <v>85</v>
      </c>
      <c r="Y30" s="47">
        <f>X30/12</f>
        <v>7.083333333333333</v>
      </c>
    </row>
    <row r="31" spans="2:26">
      <c r="B31" s="50" t="s">
        <v>107</v>
      </c>
      <c r="C31" s="52">
        <f>ROUND($C$30/$C$21*C22,0)</f>
        <v>80</v>
      </c>
      <c r="D31" s="52">
        <f>ROUND($D$30/$D$21*D22,0)</f>
        <v>114</v>
      </c>
      <c r="E31" s="52">
        <f>ROUND($E$30/$E$21*E22,0)</f>
        <v>71</v>
      </c>
      <c r="I31" s="1" t="s">
        <v>99</v>
      </c>
      <c r="J31" s="52">
        <f t="shared" ref="J31:J34" si="7">J21*$C$30</f>
        <v>20</v>
      </c>
      <c r="K31" s="52">
        <f t="shared" ref="K31:K34" si="8">K21*$C$31</f>
        <v>0</v>
      </c>
      <c r="L31" s="52">
        <f t="shared" ref="L31:L34" si="9">L21*$C$32</f>
        <v>0</v>
      </c>
      <c r="M31" s="52">
        <f t="shared" ref="M31:M34" si="10">M21*$C$33</f>
        <v>0</v>
      </c>
      <c r="N31" s="89">
        <f t="shared" ref="N31:N48" si="11">SUM(J31:M31)</f>
        <v>20</v>
      </c>
    </row>
    <row r="32" spans="2:26">
      <c r="B32" s="50" t="s">
        <v>108</v>
      </c>
      <c r="C32" s="52">
        <f>ROUND($C$30/$C$21*C23,0)</f>
        <v>40</v>
      </c>
      <c r="D32" s="52">
        <f>ROUND($D$30/$D$21*D23,0)</f>
        <v>57</v>
      </c>
      <c r="E32" s="52">
        <f>ROUND($E$30/$E$21*E23,0)</f>
        <v>36</v>
      </c>
      <c r="I32" s="1" t="s">
        <v>100</v>
      </c>
      <c r="J32" s="52">
        <f t="shared" si="7"/>
        <v>120</v>
      </c>
      <c r="K32" s="52">
        <f t="shared" si="8"/>
        <v>0</v>
      </c>
      <c r="L32" s="52">
        <f t="shared" si="9"/>
        <v>0</v>
      </c>
      <c r="M32" s="52">
        <f t="shared" si="10"/>
        <v>0</v>
      </c>
      <c r="N32" s="89">
        <f t="shared" si="11"/>
        <v>120</v>
      </c>
    </row>
    <row r="33" spans="2:14">
      <c r="B33" s="50" t="s">
        <v>109</v>
      </c>
      <c r="C33" s="52">
        <f>ROUND($C$30/$C$21*C24,0)</f>
        <v>80</v>
      </c>
      <c r="D33" s="52">
        <f>ROUND($D$30/$D$21*D24,0)</f>
        <v>0</v>
      </c>
      <c r="E33" s="52">
        <f>ROUND($E$30/$E$21*E24,0)</f>
        <v>0</v>
      </c>
      <c r="I33" s="1" t="s">
        <v>101</v>
      </c>
      <c r="J33" s="52">
        <f t="shared" si="7"/>
        <v>50</v>
      </c>
      <c r="K33" s="52">
        <f t="shared" si="8"/>
        <v>72</v>
      </c>
      <c r="L33" s="52">
        <f t="shared" si="9"/>
        <v>36</v>
      </c>
      <c r="M33" s="52">
        <f t="shared" si="10"/>
        <v>0</v>
      </c>
      <c r="N33" s="89">
        <f t="shared" si="11"/>
        <v>158</v>
      </c>
    </row>
    <row r="34" spans="2:14">
      <c r="B34" s="50" t="s">
        <v>272</v>
      </c>
      <c r="C34" s="23">
        <f>SUM(C31:C33)</f>
        <v>200</v>
      </c>
      <c r="D34" s="23">
        <f t="shared" ref="D34:E34" si="12">SUM(D31:D33)</f>
        <v>171</v>
      </c>
      <c r="E34" s="23">
        <f t="shared" si="12"/>
        <v>107</v>
      </c>
      <c r="F34" s="87"/>
      <c r="I34" s="1" t="s">
        <v>102</v>
      </c>
      <c r="J34" s="52">
        <f t="shared" si="7"/>
        <v>10</v>
      </c>
      <c r="K34" s="52">
        <f t="shared" si="8"/>
        <v>8</v>
      </c>
      <c r="L34" s="52">
        <f t="shared" si="9"/>
        <v>4</v>
      </c>
      <c r="M34" s="52">
        <f t="shared" si="10"/>
        <v>0</v>
      </c>
      <c r="N34" s="89">
        <f t="shared" si="11"/>
        <v>22</v>
      </c>
    </row>
    <row r="35" spans="2:14">
      <c r="B35" s="50" t="s">
        <v>54</v>
      </c>
      <c r="C35" s="54">
        <f>SUM(C30:C33)</f>
        <v>400</v>
      </c>
      <c r="D35" s="54">
        <f>SUM(D30:D33)</f>
        <v>571</v>
      </c>
      <c r="E35" s="54">
        <f>SUM(E30:E33)</f>
        <v>357</v>
      </c>
      <c r="N35" s="54"/>
    </row>
    <row r="36" spans="2:14">
      <c r="I36" s="76" t="s">
        <v>93</v>
      </c>
      <c r="J36" s="23" t="s">
        <v>253</v>
      </c>
      <c r="K36" s="23" t="s">
        <v>107</v>
      </c>
      <c r="L36" s="23" t="s">
        <v>108</v>
      </c>
      <c r="M36" s="23" t="s">
        <v>109</v>
      </c>
      <c r="N36" s="23" t="s">
        <v>54</v>
      </c>
    </row>
    <row r="37" spans="2:14">
      <c r="C37" s="478" t="s">
        <v>279</v>
      </c>
      <c r="D37" s="478"/>
      <c r="E37" s="478"/>
      <c r="I37" s="1" t="s">
        <v>111</v>
      </c>
      <c r="J37" s="89">
        <f>J20*$D$30</f>
        <v>0</v>
      </c>
      <c r="K37" s="89">
        <f>K20*$D$31</f>
        <v>0</v>
      </c>
      <c r="L37" s="89">
        <f>L20*$D$32</f>
        <v>0</v>
      </c>
      <c r="M37" s="89">
        <f>M20*$D$33</f>
        <v>0</v>
      </c>
      <c r="N37" s="89">
        <f t="shared" si="11"/>
        <v>0</v>
      </c>
    </row>
    <row r="38" spans="2:14">
      <c r="B38" s="50" t="s">
        <v>266</v>
      </c>
      <c r="C38" s="23" t="s">
        <v>91</v>
      </c>
      <c r="D38" s="23" t="s">
        <v>93</v>
      </c>
      <c r="E38" s="23" t="s">
        <v>94</v>
      </c>
      <c r="I38" s="1" t="s">
        <v>99</v>
      </c>
      <c r="J38" s="89">
        <f t="shared" ref="J38:J41" si="13">J21*$D$30</f>
        <v>40</v>
      </c>
      <c r="K38" s="89">
        <f t="shared" ref="K38:K41" si="14">K21*$D$31</f>
        <v>0</v>
      </c>
      <c r="L38" s="89">
        <f t="shared" ref="L38:L41" si="15">L21*$D$32</f>
        <v>0</v>
      </c>
      <c r="M38" s="89">
        <f t="shared" ref="M38:M41" si="16">M21*$D$33</f>
        <v>0</v>
      </c>
      <c r="N38" s="89">
        <f t="shared" si="11"/>
        <v>40</v>
      </c>
    </row>
    <row r="39" spans="2:14">
      <c r="B39" s="50" t="s">
        <v>253</v>
      </c>
      <c r="C39" s="90">
        <f>$J$26*C30</f>
        <v>150000</v>
      </c>
      <c r="D39" s="90">
        <f t="shared" ref="D39:E39" si="17">$J$26*D30</f>
        <v>300000</v>
      </c>
      <c r="E39" s="90">
        <f t="shared" si="17"/>
        <v>187500</v>
      </c>
      <c r="I39" s="1" t="s">
        <v>100</v>
      </c>
      <c r="J39" s="89">
        <f t="shared" si="13"/>
        <v>240</v>
      </c>
      <c r="K39" s="89">
        <f t="shared" si="14"/>
        <v>0</v>
      </c>
      <c r="L39" s="89">
        <f t="shared" si="15"/>
        <v>0</v>
      </c>
      <c r="M39" s="89">
        <f t="shared" si="16"/>
        <v>0</v>
      </c>
      <c r="N39" s="89">
        <f t="shared" si="11"/>
        <v>240</v>
      </c>
    </row>
    <row r="40" spans="2:14">
      <c r="B40" s="50" t="s">
        <v>107</v>
      </c>
      <c r="C40" s="90">
        <f>$K$26*C31</f>
        <v>61200</v>
      </c>
      <c r="D40" s="90">
        <f t="shared" ref="D40:E40" si="18">$K$26*D31</f>
        <v>87210</v>
      </c>
      <c r="E40" s="90">
        <f t="shared" si="18"/>
        <v>54315</v>
      </c>
      <c r="I40" s="1" t="s">
        <v>101</v>
      </c>
      <c r="J40" s="89">
        <f t="shared" si="13"/>
        <v>100</v>
      </c>
      <c r="K40" s="89">
        <f t="shared" si="14"/>
        <v>102.60000000000001</v>
      </c>
      <c r="L40" s="89">
        <f t="shared" si="15"/>
        <v>51.300000000000004</v>
      </c>
      <c r="M40" s="89">
        <f t="shared" si="16"/>
        <v>0</v>
      </c>
      <c r="N40" s="89">
        <f t="shared" si="11"/>
        <v>253.90000000000003</v>
      </c>
    </row>
    <row r="41" spans="2:14">
      <c r="B41" s="50" t="s">
        <v>108</v>
      </c>
      <c r="C41" s="90">
        <f>$L$26*C32</f>
        <v>30600</v>
      </c>
      <c r="D41" s="90">
        <f t="shared" ref="D41:E41" si="19">$L$26*D32</f>
        <v>43605</v>
      </c>
      <c r="E41" s="90">
        <f t="shared" si="19"/>
        <v>27540</v>
      </c>
      <c r="I41" s="1" t="s">
        <v>102</v>
      </c>
      <c r="J41" s="89">
        <f t="shared" si="13"/>
        <v>20</v>
      </c>
      <c r="K41" s="89">
        <f t="shared" si="14"/>
        <v>11.4</v>
      </c>
      <c r="L41" s="89">
        <f t="shared" si="15"/>
        <v>5.7</v>
      </c>
      <c r="M41" s="89">
        <f t="shared" si="16"/>
        <v>0</v>
      </c>
      <c r="N41" s="89">
        <f t="shared" si="11"/>
        <v>37.1</v>
      </c>
    </row>
    <row r="42" spans="2:14">
      <c r="B42" s="50" t="s">
        <v>109</v>
      </c>
      <c r="C42" s="90">
        <f>$M$26*C33</f>
        <v>16000</v>
      </c>
      <c r="D42" s="90">
        <f t="shared" ref="D42:E42" si="20">$M$26*D33</f>
        <v>0</v>
      </c>
      <c r="E42" s="90">
        <f t="shared" si="20"/>
        <v>0</v>
      </c>
      <c r="N42" s="54"/>
    </row>
    <row r="43" spans="2:14">
      <c r="B43" s="50" t="s">
        <v>272</v>
      </c>
      <c r="C43" s="91">
        <f>SUM(C40:C42)</f>
        <v>107800</v>
      </c>
      <c r="D43" s="91">
        <f t="shared" ref="D43" si="21">SUM(D40:D42)</f>
        <v>130815</v>
      </c>
      <c r="E43" s="91">
        <f t="shared" ref="E43" si="22">SUM(E40:E42)</f>
        <v>81855</v>
      </c>
      <c r="I43" s="76" t="s">
        <v>94</v>
      </c>
      <c r="J43" s="23" t="s">
        <v>253</v>
      </c>
      <c r="K43" s="23" t="s">
        <v>107</v>
      </c>
      <c r="L43" s="23" t="s">
        <v>108</v>
      </c>
      <c r="M43" s="23" t="s">
        <v>109</v>
      </c>
      <c r="N43" s="23" t="s">
        <v>54</v>
      </c>
    </row>
    <row r="44" spans="2:14">
      <c r="B44" s="50" t="s">
        <v>54</v>
      </c>
      <c r="C44" s="91">
        <f>SUM(C39:C42)</f>
        <v>257800</v>
      </c>
      <c r="D44" s="91">
        <f>SUM(D39:D42)</f>
        <v>430815</v>
      </c>
      <c r="E44" s="91">
        <f>SUM(E39:E42)</f>
        <v>269355</v>
      </c>
      <c r="I44" s="1" t="s">
        <v>111</v>
      </c>
      <c r="J44" s="89">
        <f>J20*$E$30</f>
        <v>0</v>
      </c>
      <c r="K44" s="89">
        <f>K20*$E$31</f>
        <v>0</v>
      </c>
      <c r="L44" s="89">
        <f>L20*$E$32</f>
        <v>0</v>
      </c>
      <c r="M44" s="89">
        <f>M20*$E$33</f>
        <v>0</v>
      </c>
      <c r="N44" s="89">
        <f t="shared" si="11"/>
        <v>0</v>
      </c>
    </row>
    <row r="45" spans="2:14">
      <c r="I45" s="1" t="s">
        <v>99</v>
      </c>
      <c r="J45" s="89">
        <f t="shared" ref="J45:J48" si="23">J21*$E$30</f>
        <v>25</v>
      </c>
      <c r="K45" s="89">
        <f t="shared" ref="K45:K48" si="24">K21*$E$31</f>
        <v>0</v>
      </c>
      <c r="L45" s="89">
        <f t="shared" ref="L45:L48" si="25">L21*$E$32</f>
        <v>0</v>
      </c>
      <c r="M45" s="89">
        <f t="shared" ref="M45:M48" si="26">M21*$E$33</f>
        <v>0</v>
      </c>
      <c r="N45" s="89">
        <f t="shared" si="11"/>
        <v>25</v>
      </c>
    </row>
    <row r="46" spans="2:14">
      <c r="C46" s="478" t="s">
        <v>123</v>
      </c>
      <c r="D46" s="478"/>
      <c r="E46" s="478"/>
      <c r="I46" s="1" t="s">
        <v>100</v>
      </c>
      <c r="J46" s="89">
        <f t="shared" si="23"/>
        <v>150</v>
      </c>
      <c r="K46" s="89">
        <f t="shared" si="24"/>
        <v>0</v>
      </c>
      <c r="L46" s="89">
        <f t="shared" si="25"/>
        <v>0</v>
      </c>
      <c r="M46" s="89">
        <f t="shared" si="26"/>
        <v>0</v>
      </c>
      <c r="N46" s="89">
        <f t="shared" si="11"/>
        <v>150</v>
      </c>
    </row>
    <row r="47" spans="2:14">
      <c r="B47" s="50" t="s">
        <v>266</v>
      </c>
      <c r="C47" s="23" t="s">
        <v>91</v>
      </c>
      <c r="D47" s="23" t="s">
        <v>93</v>
      </c>
      <c r="E47" s="23" t="s">
        <v>94</v>
      </c>
      <c r="I47" s="1" t="s">
        <v>101</v>
      </c>
      <c r="J47" s="89">
        <f t="shared" si="23"/>
        <v>62.5</v>
      </c>
      <c r="K47" s="89">
        <f t="shared" si="24"/>
        <v>63.9</v>
      </c>
      <c r="L47" s="89">
        <f t="shared" si="25"/>
        <v>32.4</v>
      </c>
      <c r="M47" s="89">
        <f t="shared" si="26"/>
        <v>0</v>
      </c>
      <c r="N47" s="89">
        <f t="shared" si="11"/>
        <v>158.80000000000001</v>
      </c>
    </row>
    <row r="48" spans="2:14">
      <c r="B48" s="50" t="s">
        <v>253</v>
      </c>
      <c r="C48" s="90">
        <f>C39/$B$1</f>
        <v>187500</v>
      </c>
      <c r="D48" s="90">
        <f t="shared" ref="D48:E48" si="27">D39/$B$1</f>
        <v>375000</v>
      </c>
      <c r="E48" s="90">
        <f t="shared" si="27"/>
        <v>234375</v>
      </c>
      <c r="I48" s="1" t="s">
        <v>102</v>
      </c>
      <c r="J48" s="89">
        <f t="shared" si="23"/>
        <v>12.5</v>
      </c>
      <c r="K48" s="89">
        <f t="shared" si="24"/>
        <v>7.1000000000000005</v>
      </c>
      <c r="L48" s="89">
        <f t="shared" si="25"/>
        <v>3.6</v>
      </c>
      <c r="M48" s="89">
        <f t="shared" si="26"/>
        <v>0</v>
      </c>
      <c r="N48" s="89">
        <f t="shared" si="11"/>
        <v>23.200000000000003</v>
      </c>
    </row>
    <row r="49" spans="2:5">
      <c r="B49" s="50" t="s">
        <v>107</v>
      </c>
      <c r="C49" s="90">
        <f>C40/$B$2</f>
        <v>72000</v>
      </c>
      <c r="D49" s="90">
        <f t="shared" ref="D49:E49" si="28">D40/$B$2</f>
        <v>102600</v>
      </c>
      <c r="E49" s="90">
        <f t="shared" si="28"/>
        <v>63900</v>
      </c>
    </row>
    <row r="50" spans="2:5">
      <c r="B50" s="50" t="s">
        <v>108</v>
      </c>
      <c r="C50" s="90">
        <f t="shared" ref="C50:E51" si="29">C41/$B$2</f>
        <v>36000</v>
      </c>
      <c r="D50" s="90">
        <f t="shared" si="29"/>
        <v>51300</v>
      </c>
      <c r="E50" s="90">
        <f t="shared" si="29"/>
        <v>32400</v>
      </c>
    </row>
    <row r="51" spans="2:5">
      <c r="B51" s="50" t="s">
        <v>109</v>
      </c>
      <c r="C51" s="90">
        <f t="shared" si="29"/>
        <v>18823.529411764706</v>
      </c>
      <c r="D51" s="90">
        <f t="shared" si="29"/>
        <v>0</v>
      </c>
      <c r="E51" s="90">
        <f t="shared" si="29"/>
        <v>0</v>
      </c>
    </row>
    <row r="52" spans="2:5">
      <c r="B52" s="50" t="s">
        <v>272</v>
      </c>
      <c r="C52" s="91">
        <f>SUM(C49:C51)</f>
        <v>126823.5294117647</v>
      </c>
      <c r="D52" s="91">
        <f t="shared" ref="D52" si="30">SUM(D49:D51)</f>
        <v>153900</v>
      </c>
      <c r="E52" s="91">
        <f t="shared" ref="E52" si="31">SUM(E49:E51)</f>
        <v>96300</v>
      </c>
    </row>
    <row r="53" spans="2:5">
      <c r="B53" s="50" t="s">
        <v>54</v>
      </c>
      <c r="C53" s="91">
        <f>SUM(C48:C51)</f>
        <v>314323.5294117647</v>
      </c>
      <c r="D53" s="91">
        <f>SUM(D48:D51)</f>
        <v>528900</v>
      </c>
      <c r="E53" s="91">
        <f>SUM(E48:E51)</f>
        <v>330675</v>
      </c>
    </row>
  </sheetData>
  <mergeCells count="7">
    <mergeCell ref="C37:E37"/>
    <mergeCell ref="C46:E46"/>
    <mergeCell ref="J10:M10"/>
    <mergeCell ref="J18:M18"/>
    <mergeCell ref="J28:M28"/>
    <mergeCell ref="C19:E19"/>
    <mergeCell ref="C28:E28"/>
  </mergeCells>
  <pageMargins left="0.7" right="0.7" top="0.75" bottom="0.75" header="0.3" footer="0.3"/>
  <pageSetup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96B17-F794-6C4F-B9F8-A8D7C879ABE2}">
  <sheetPr>
    <tabColor rgb="FF00B0F0"/>
  </sheetPr>
  <dimension ref="A1:AM75"/>
  <sheetViews>
    <sheetView workbookViewId="0"/>
  </sheetViews>
  <sheetFormatPr defaultColWidth="10.875" defaultRowHeight="15.95"/>
  <cols>
    <col min="1" max="1" width="10.875" style="1"/>
    <col min="2" max="2" width="29.5" style="1" customWidth="1"/>
    <col min="3" max="3" width="6.375" style="1" bestFit="1" customWidth="1"/>
    <col min="4" max="4" width="9.5" style="1" bestFit="1" customWidth="1"/>
    <col min="5" max="5" width="9.5" style="1" customWidth="1"/>
    <col min="6" max="6" width="13" style="1" customWidth="1"/>
    <col min="7" max="7" width="14.125" style="1" customWidth="1"/>
    <col min="8" max="8" width="10.875" style="1" bestFit="1" customWidth="1"/>
    <col min="9" max="9" width="12.125" style="1" bestFit="1" customWidth="1"/>
    <col min="10" max="12" width="12.625" style="1" bestFit="1" customWidth="1"/>
    <col min="13" max="13" width="6.125" style="1" customWidth="1"/>
    <col min="14" max="14" width="10.875" style="1"/>
    <col min="15" max="15" width="15.125" style="1" bestFit="1" customWidth="1"/>
    <col min="16" max="16" width="12.125" style="1" bestFit="1" customWidth="1"/>
    <col min="17" max="17" width="11.125" style="1" bestFit="1" customWidth="1"/>
    <col min="18" max="18" width="10.125" style="1" bestFit="1" customWidth="1"/>
    <col min="19" max="19" width="2.875" style="1" customWidth="1"/>
    <col min="20" max="20" width="7.625" style="1" bestFit="1" customWidth="1"/>
    <col min="21" max="21" width="11.625" style="1" bestFit="1" customWidth="1"/>
    <col min="22" max="22" width="10.125" style="1" bestFit="1" customWidth="1"/>
    <col min="23" max="23" width="11.125" style="1" bestFit="1" customWidth="1"/>
    <col min="24" max="24" width="10.125" style="1" bestFit="1" customWidth="1"/>
    <col min="25" max="25" width="2.875" style="1" customWidth="1"/>
    <col min="26" max="26" width="10.875" style="1"/>
    <col min="27" max="27" width="26.5" style="1" customWidth="1"/>
    <col min="28" max="28" width="12.625" style="1" bestFit="1" customWidth="1"/>
    <col min="29" max="29" width="16.375" style="1" bestFit="1" customWidth="1"/>
    <col min="30" max="36" width="10.875" style="1"/>
    <col min="37" max="37" width="12.125" style="1" bestFit="1" customWidth="1"/>
    <col min="38" max="38" width="11.125" style="1" bestFit="1" customWidth="1"/>
    <col min="39" max="39" width="12.125" style="1" bestFit="1" customWidth="1"/>
    <col min="40" max="16384" width="10.875" style="1"/>
  </cols>
  <sheetData>
    <row r="1" spans="1:30">
      <c r="A1" s="76" t="s">
        <v>206</v>
      </c>
    </row>
    <row r="2" spans="1:30">
      <c r="B2" s="56"/>
      <c r="C2" s="56"/>
      <c r="D2" s="56"/>
      <c r="E2" s="56"/>
      <c r="F2" s="56"/>
      <c r="G2" s="56"/>
      <c r="H2" s="480" t="s">
        <v>91</v>
      </c>
      <c r="I2" s="480"/>
      <c r="J2" s="480"/>
      <c r="K2" s="480"/>
      <c r="L2" s="480"/>
      <c r="M2" s="67"/>
      <c r="N2" s="480" t="s">
        <v>93</v>
      </c>
      <c r="O2" s="480"/>
      <c r="P2" s="480"/>
      <c r="Q2" s="480"/>
      <c r="R2" s="480"/>
      <c r="S2" s="67"/>
      <c r="T2" s="480" t="s">
        <v>94</v>
      </c>
      <c r="U2" s="480"/>
      <c r="V2" s="480"/>
      <c r="W2" s="480"/>
      <c r="X2" s="480"/>
      <c r="Y2" s="56"/>
      <c r="Z2" s="480" t="s">
        <v>54</v>
      </c>
      <c r="AA2" s="480"/>
      <c r="AB2" s="480"/>
      <c r="AC2" s="480"/>
      <c r="AD2" s="480"/>
    </row>
    <row r="3" spans="1:30">
      <c r="B3" s="117" t="s">
        <v>280</v>
      </c>
      <c r="C3" s="117" t="s">
        <v>67</v>
      </c>
      <c r="D3" s="117" t="s">
        <v>68</v>
      </c>
      <c r="E3" s="117" t="s">
        <v>69</v>
      </c>
      <c r="F3" s="117" t="s">
        <v>281</v>
      </c>
      <c r="G3" s="117"/>
      <c r="H3" s="117" t="s">
        <v>282</v>
      </c>
      <c r="I3" s="117" t="s">
        <v>283</v>
      </c>
      <c r="J3" s="117" t="s">
        <v>67</v>
      </c>
      <c r="K3" s="117" t="s">
        <v>68</v>
      </c>
      <c r="L3" s="76" t="s">
        <v>69</v>
      </c>
      <c r="M3" s="117"/>
      <c r="N3" s="117" t="s">
        <v>282</v>
      </c>
      <c r="O3" s="117" t="s">
        <v>283</v>
      </c>
      <c r="P3" s="117" t="s">
        <v>67</v>
      </c>
      <c r="Q3" s="117" t="s">
        <v>68</v>
      </c>
      <c r="R3" s="76" t="s">
        <v>69</v>
      </c>
      <c r="S3" s="117"/>
      <c r="T3" s="117" t="s">
        <v>282</v>
      </c>
      <c r="U3" s="117" t="s">
        <v>283</v>
      </c>
      <c r="V3" s="117" t="s">
        <v>67</v>
      </c>
      <c r="W3" s="117" t="s">
        <v>68</v>
      </c>
      <c r="X3" s="76" t="s">
        <v>69</v>
      </c>
      <c r="Y3" s="117"/>
      <c r="Z3" s="117" t="s">
        <v>282</v>
      </c>
      <c r="AA3" s="117" t="s">
        <v>283</v>
      </c>
      <c r="AB3" s="117" t="s">
        <v>67</v>
      </c>
      <c r="AC3" s="117" t="s">
        <v>68</v>
      </c>
      <c r="AD3" s="76" t="s">
        <v>69</v>
      </c>
    </row>
    <row r="4" spans="1:30">
      <c r="B4" s="59" t="s">
        <v>70</v>
      </c>
      <c r="C4" s="119">
        <v>0</v>
      </c>
      <c r="D4" s="119">
        <v>0.75</v>
      </c>
      <c r="E4" s="119">
        <v>0.25</v>
      </c>
      <c r="F4" s="139">
        <v>150</v>
      </c>
      <c r="G4" s="118"/>
      <c r="H4" s="140">
        <v>57000</v>
      </c>
      <c r="I4" s="118">
        <f ca="1">H4*F4*(1+Assumptions!V76/Assumptions!V77)^(YEAR(Assumptions!E4)-YEAR(TODAY()))</f>
        <v>8806500</v>
      </c>
      <c r="J4" s="120">
        <f ca="1">$I4*C4</f>
        <v>0</v>
      </c>
      <c r="K4" s="120">
        <f ca="1">$I4*D4</f>
        <v>6604875</v>
      </c>
      <c r="L4" s="120">
        <f ca="1">$I4*E4</f>
        <v>2201625</v>
      </c>
      <c r="M4" s="59"/>
      <c r="N4" s="140">
        <v>0</v>
      </c>
      <c r="O4" s="118">
        <f ca="1">N4*F4*(1+Assumptions!W76/Assumptions!W77)^(YEAR(Assumptions!E5)-YEAR(TODAY()))</f>
        <v>0</v>
      </c>
      <c r="P4" s="120">
        <f ca="1">O4*C4</f>
        <v>0</v>
      </c>
      <c r="Q4" s="120">
        <f ca="1">O4*D4</f>
        <v>0</v>
      </c>
      <c r="R4" s="120">
        <f ca="1">O4*E4</f>
        <v>0</v>
      </c>
      <c r="S4" s="59"/>
      <c r="T4" s="140">
        <v>0</v>
      </c>
      <c r="U4" s="118">
        <f ca="1">T4*F4*(1+Assumptions!X76/Assumptions!X77)^(YEAR(Assumptions!E6)-YEAR(TODAY()))</f>
        <v>0</v>
      </c>
      <c r="V4" s="120">
        <f ca="1">U4*C4</f>
        <v>0</v>
      </c>
      <c r="W4" s="120">
        <f ca="1">U4*D4</f>
        <v>0</v>
      </c>
      <c r="X4" s="120">
        <f ca="1">U4*E4</f>
        <v>0</v>
      </c>
      <c r="Y4" s="59"/>
      <c r="Z4" s="122">
        <f>T4+N4+H4</f>
        <v>57000</v>
      </c>
      <c r="AA4" s="118">
        <f ca="1">U4+O4+I4</f>
        <v>8806500</v>
      </c>
      <c r="AB4" s="118">
        <f ca="1">V4+P4+J4</f>
        <v>0</v>
      </c>
      <c r="AC4" s="118">
        <f t="shared" ref="AC4:AD4" ca="1" si="0">W4+Q4+K4</f>
        <v>6604875</v>
      </c>
      <c r="AD4" s="118">
        <f t="shared" ca="1" si="0"/>
        <v>2201625</v>
      </c>
    </row>
    <row r="5" spans="1:30">
      <c r="B5" s="59" t="s">
        <v>71</v>
      </c>
      <c r="C5" s="119">
        <v>0</v>
      </c>
      <c r="D5" s="119">
        <v>0.75</v>
      </c>
      <c r="E5" s="119">
        <v>0.25</v>
      </c>
      <c r="F5" s="139">
        <v>75</v>
      </c>
      <c r="G5" s="118"/>
      <c r="H5" s="140">
        <v>0</v>
      </c>
      <c r="I5" s="118">
        <f ca="1">H5*F5*(1+Assumptions!V76/Assumptions!V77)^(YEAR(Assumptions!E4)-YEAR(TODAY()))</f>
        <v>0</v>
      </c>
      <c r="J5" s="120">
        <f t="shared" ref="J5:J9" ca="1" si="1">$I5*C5</f>
        <v>0</v>
      </c>
      <c r="K5" s="120">
        <f t="shared" ref="K5:K9" ca="1" si="2">$I5*D5</f>
        <v>0</v>
      </c>
      <c r="L5" s="120">
        <f t="shared" ref="L5:L9" ca="1" si="3">$I5*E5</f>
        <v>0</v>
      </c>
      <c r="M5" s="59"/>
      <c r="N5" s="140">
        <v>0</v>
      </c>
      <c r="O5" s="118">
        <f ca="1">N5*F5*(1+Assumptions!W76/Assumptions!W77)^(YEAR(Assumptions!E5)-YEAR(TODAY()))</f>
        <v>0</v>
      </c>
      <c r="P5" s="120">
        <f t="shared" ref="P5:P9" ca="1" si="4">O5*C5</f>
        <v>0</v>
      </c>
      <c r="Q5" s="120">
        <f t="shared" ref="Q5:Q9" ca="1" si="5">O5*D5</f>
        <v>0</v>
      </c>
      <c r="R5" s="120">
        <f t="shared" ref="R5:R9" ca="1" si="6">O5*E5</f>
        <v>0</v>
      </c>
      <c r="S5" s="59"/>
      <c r="T5" s="140">
        <v>60000</v>
      </c>
      <c r="U5" s="118">
        <f ca="1">T5*F5*(1+Assumptions!X76/Assumptions!X77)^(YEAR(Assumptions!E6)-YEAR(TODAY()))</f>
        <v>5216733.3343499992</v>
      </c>
      <c r="V5" s="120">
        <f t="shared" ref="V5:V9" ca="1" si="7">U5*C5</f>
        <v>0</v>
      </c>
      <c r="W5" s="120">
        <f t="shared" ref="W5:W9" ca="1" si="8">U5*D5</f>
        <v>3912550.0007624994</v>
      </c>
      <c r="X5" s="120">
        <f t="shared" ref="X5:X9" ca="1" si="9">U5*E5</f>
        <v>1304183.3335874998</v>
      </c>
      <c r="Y5" s="59"/>
      <c r="Z5" s="122">
        <f t="shared" ref="Z5:Z9" si="10">T5+N5+H5</f>
        <v>60000</v>
      </c>
      <c r="AA5" s="118">
        <f t="shared" ref="AA5:AA9" ca="1" si="11">U5+O5+I5</f>
        <v>5216733.3343499992</v>
      </c>
      <c r="AB5" s="118">
        <f t="shared" ref="AB5:AB9" ca="1" si="12">V5+P5+J5</f>
        <v>0</v>
      </c>
      <c r="AC5" s="118">
        <f t="shared" ref="AC5:AC9" ca="1" si="13">W5+Q5+K5</f>
        <v>3912550.0007624994</v>
      </c>
      <c r="AD5" s="118">
        <f t="shared" ref="AD5:AD9" ca="1" si="14">X5+R5+L5</f>
        <v>1304183.3335874998</v>
      </c>
    </row>
    <row r="6" spans="1:30">
      <c r="B6" s="59" t="s">
        <v>73</v>
      </c>
      <c r="C6" s="119">
        <v>0.5</v>
      </c>
      <c r="D6" s="119">
        <v>0.25</v>
      </c>
      <c r="E6" s="119">
        <v>0.25</v>
      </c>
      <c r="F6" s="139">
        <f>(100+250)</f>
        <v>350</v>
      </c>
      <c r="G6" s="59"/>
      <c r="H6" s="140">
        <v>30000</v>
      </c>
      <c r="I6" s="118">
        <f ca="1">H6*F6*(1+Assumptions!V76/Assumptions!V77)^(YEAR(Assumptions!E4)-YEAR(TODAY()))</f>
        <v>10815000</v>
      </c>
      <c r="J6" s="120">
        <f t="shared" ca="1" si="1"/>
        <v>5407500</v>
      </c>
      <c r="K6" s="120">
        <f t="shared" ca="1" si="2"/>
        <v>2703750</v>
      </c>
      <c r="L6" s="120">
        <f t="shared" ca="1" si="3"/>
        <v>2703750</v>
      </c>
      <c r="M6" s="59"/>
      <c r="N6" s="140">
        <v>33000</v>
      </c>
      <c r="O6" s="118">
        <f ca="1">N6*F6*(1+Assumptions!W76/Assumptions!W77)^(YEAR(Assumptions!E5)-YEAR(TODAY()))</f>
        <v>12620996.85</v>
      </c>
      <c r="P6" s="120">
        <f t="shared" ca="1" si="4"/>
        <v>6310498.4249999998</v>
      </c>
      <c r="Q6" s="120">
        <f t="shared" ca="1" si="5"/>
        <v>3155249.2124999999</v>
      </c>
      <c r="R6" s="120">
        <f t="shared" ca="1" si="6"/>
        <v>3155249.2124999999</v>
      </c>
      <c r="S6" s="59"/>
      <c r="T6" s="140">
        <v>0</v>
      </c>
      <c r="U6" s="118">
        <f ca="1">T6*F6*(1+Assumptions!X76/Assumptions!X77)^(YEAR(Assumptions!E6)-YEAR(TODAY()))</f>
        <v>0</v>
      </c>
      <c r="V6" s="120">
        <f t="shared" ca="1" si="7"/>
        <v>0</v>
      </c>
      <c r="W6" s="120">
        <f t="shared" ca="1" si="8"/>
        <v>0</v>
      </c>
      <c r="X6" s="120">
        <f t="shared" ca="1" si="9"/>
        <v>0</v>
      </c>
      <c r="Y6" s="59"/>
      <c r="Z6" s="122">
        <f t="shared" si="10"/>
        <v>63000</v>
      </c>
      <c r="AA6" s="118">
        <f t="shared" ca="1" si="11"/>
        <v>23435996.850000001</v>
      </c>
      <c r="AB6" s="118">
        <f t="shared" ca="1" si="12"/>
        <v>11717998.425000001</v>
      </c>
      <c r="AC6" s="118">
        <f t="shared" ca="1" si="13"/>
        <v>5858999.2125000004</v>
      </c>
      <c r="AD6" s="118">
        <f t="shared" ca="1" si="14"/>
        <v>5858999.2125000004</v>
      </c>
    </row>
    <row r="7" spans="1:30">
      <c r="B7" s="59" t="s">
        <v>136</v>
      </c>
      <c r="C7" s="119">
        <v>1</v>
      </c>
      <c r="D7" s="119">
        <v>0</v>
      </c>
      <c r="E7" s="119">
        <v>0</v>
      </c>
      <c r="F7" s="139">
        <v>0</v>
      </c>
      <c r="G7" s="59"/>
      <c r="H7" s="140">
        <v>0</v>
      </c>
      <c r="I7" s="118">
        <f ca="1">H7*F7*(1+Assumptions!V76/Assumptions!V77)^(YEAR(Assumptions!E4)-YEAR(TODAY()))</f>
        <v>0</v>
      </c>
      <c r="J7" s="120">
        <f ca="1">$I7*C7</f>
        <v>0</v>
      </c>
      <c r="K7" s="120">
        <f ca="1">$I7*E7</f>
        <v>0</v>
      </c>
      <c r="L7" s="120">
        <f ca="1">$I7*E7</f>
        <v>0</v>
      </c>
      <c r="M7" s="59"/>
      <c r="N7" s="140">
        <v>95000</v>
      </c>
      <c r="O7" s="118">
        <f ca="1">N7*F7*(1+Assumptions!W76/Assumptions!W77)^(YEAR(Assumptions!E5)-YEAR(TODAY()))</f>
        <v>0</v>
      </c>
      <c r="P7" s="120">
        <f ca="1">O7*C7</f>
        <v>0</v>
      </c>
      <c r="Q7" s="120">
        <f ca="1">O7*D7</f>
        <v>0</v>
      </c>
      <c r="R7" s="120">
        <f ca="1">O7*E7</f>
        <v>0</v>
      </c>
      <c r="S7" s="59"/>
      <c r="T7" s="140">
        <v>0</v>
      </c>
      <c r="U7" s="118">
        <f ca="1">T7*F7*(1+Assumptions!X76/Assumptions!X77)^(YEAR(Assumptions!E6)-YEAR(TODAY()))</f>
        <v>0</v>
      </c>
      <c r="V7" s="120">
        <f ca="1">U7*C7</f>
        <v>0</v>
      </c>
      <c r="W7" s="120">
        <f ca="1">U7*D7</f>
        <v>0</v>
      </c>
      <c r="X7" s="120">
        <f ca="1">U7*E7</f>
        <v>0</v>
      </c>
      <c r="Y7" s="120"/>
      <c r="Z7" s="122">
        <f t="shared" si="10"/>
        <v>95000</v>
      </c>
      <c r="AA7" s="118">
        <f t="shared" ref="AA7" ca="1" si="15">U7+O7+I7</f>
        <v>0</v>
      </c>
      <c r="AB7" s="118">
        <f t="shared" ref="AB7" ca="1" si="16">V7+P7+J7</f>
        <v>0</v>
      </c>
      <c r="AC7" s="118">
        <f t="shared" ref="AC7" ca="1" si="17">W7+Q7+K7</f>
        <v>0</v>
      </c>
      <c r="AD7" s="118">
        <f t="shared" ref="AD7" ca="1" si="18">X7+R7+L7</f>
        <v>0</v>
      </c>
    </row>
    <row r="8" spans="1:30">
      <c r="B8" s="59" t="s">
        <v>75</v>
      </c>
      <c r="C8" s="119">
        <v>0</v>
      </c>
      <c r="D8" s="119">
        <v>1</v>
      </c>
      <c r="E8" s="119">
        <v>0</v>
      </c>
      <c r="F8" s="139">
        <f>85*1.5</f>
        <v>127.5</v>
      </c>
      <c r="G8" s="59"/>
      <c r="H8" s="140">
        <v>6666</v>
      </c>
      <c r="I8" s="118">
        <f ca="1">H8*F8*(1+Assumptions!V76/Assumptions!V77)^(YEAR(Assumptions!E4)-YEAR(TODAY()))</f>
        <v>875412.45000000007</v>
      </c>
      <c r="J8" s="120">
        <f t="shared" ca="1" si="1"/>
        <v>0</v>
      </c>
      <c r="K8" s="120">
        <f t="shared" ca="1" si="2"/>
        <v>875412.45000000007</v>
      </c>
      <c r="L8" s="120">
        <f t="shared" ca="1" si="3"/>
        <v>0</v>
      </c>
      <c r="M8" s="59"/>
      <c r="N8" s="140">
        <v>6666</v>
      </c>
      <c r="O8" s="118">
        <f ca="1">N8*F8*(1+Assumptions!W76/Assumptions!W77)^(YEAR(Assumptions!E5)-YEAR(TODAY()))</f>
        <v>928725.06820500002</v>
      </c>
      <c r="P8" s="120">
        <f t="shared" ca="1" si="4"/>
        <v>0</v>
      </c>
      <c r="Q8" s="120">
        <f t="shared" ca="1" si="5"/>
        <v>928725.06820500002</v>
      </c>
      <c r="R8" s="120">
        <f t="shared" ca="1" si="6"/>
        <v>0</v>
      </c>
      <c r="S8" s="59"/>
      <c r="T8" s="140">
        <v>6668</v>
      </c>
      <c r="U8" s="118">
        <f ca="1">T8*F8*(1+Assumptions!X76/Assumptions!X77)^(YEAR(Assumptions!E6)-YEAR(TODAY()))</f>
        <v>985580.03974763083</v>
      </c>
      <c r="V8" s="120">
        <f t="shared" ca="1" si="7"/>
        <v>0</v>
      </c>
      <c r="W8" s="120">
        <f t="shared" ca="1" si="8"/>
        <v>985580.03974763083</v>
      </c>
      <c r="X8" s="120">
        <f t="shared" ca="1" si="9"/>
        <v>0</v>
      </c>
      <c r="Y8" s="59"/>
      <c r="Z8" s="122">
        <f t="shared" si="10"/>
        <v>20000</v>
      </c>
      <c r="AA8" s="118">
        <f t="shared" ca="1" si="11"/>
        <v>2789717.5579526308</v>
      </c>
      <c r="AB8" s="118">
        <f t="shared" ca="1" si="12"/>
        <v>0</v>
      </c>
      <c r="AC8" s="118">
        <f t="shared" ca="1" si="13"/>
        <v>2789717.5579526308</v>
      </c>
      <c r="AD8" s="118">
        <f t="shared" ca="1" si="14"/>
        <v>0</v>
      </c>
    </row>
    <row r="9" spans="1:30">
      <c r="B9" s="59" t="s">
        <v>77</v>
      </c>
      <c r="C9" s="119">
        <v>0</v>
      </c>
      <c r="D9" s="119">
        <v>1</v>
      </c>
      <c r="E9" s="119">
        <v>0</v>
      </c>
      <c r="F9" s="139">
        <v>15</v>
      </c>
      <c r="G9" s="59"/>
      <c r="H9" s="140">
        <v>72500</v>
      </c>
      <c r="I9" s="118">
        <f ca="1">H9*F9*(1+Assumptions!V76/Assumptions!V77)^(YEAR(Assumptions!E4)-YEAR(TODAY()))</f>
        <v>1120125</v>
      </c>
      <c r="J9" s="120">
        <f t="shared" ca="1" si="1"/>
        <v>0</v>
      </c>
      <c r="K9" s="120">
        <f t="shared" ca="1" si="2"/>
        <v>1120125</v>
      </c>
      <c r="L9" s="120">
        <f t="shared" ca="1" si="3"/>
        <v>0</v>
      </c>
      <c r="M9" s="59"/>
      <c r="N9" s="140">
        <v>72500</v>
      </c>
      <c r="O9" s="118">
        <f ca="1">N9*F9*(1+Assumptions!W76/Assumptions!W77)^(YEAR(Assumptions!E5)-YEAR(TODAY()))</f>
        <v>1188340.6125</v>
      </c>
      <c r="P9" s="120">
        <f t="shared" ca="1" si="4"/>
        <v>0</v>
      </c>
      <c r="Q9" s="120">
        <f t="shared" ca="1" si="5"/>
        <v>1188340.6125</v>
      </c>
      <c r="R9" s="120">
        <f t="shared" ca="1" si="6"/>
        <v>0</v>
      </c>
      <c r="S9" s="59"/>
      <c r="T9" s="140">
        <v>0</v>
      </c>
      <c r="U9" s="118">
        <f ca="1">T9*F9*(1+Assumptions!X76/Assumptions!X77)^(YEAR(Assumptions!E6)-YEAR(TODAY()))</f>
        <v>0</v>
      </c>
      <c r="V9" s="120">
        <f t="shared" ca="1" si="7"/>
        <v>0</v>
      </c>
      <c r="W9" s="120">
        <f t="shared" ca="1" si="8"/>
        <v>0</v>
      </c>
      <c r="X9" s="120">
        <f t="shared" ca="1" si="9"/>
        <v>0</v>
      </c>
      <c r="Y9" s="59"/>
      <c r="Z9" s="122">
        <f t="shared" si="10"/>
        <v>145000</v>
      </c>
      <c r="AA9" s="118">
        <f t="shared" ca="1" si="11"/>
        <v>2308465.6124999998</v>
      </c>
      <c r="AB9" s="118">
        <f t="shared" ca="1" si="12"/>
        <v>0</v>
      </c>
      <c r="AC9" s="118">
        <f t="shared" ca="1" si="13"/>
        <v>2308465.6124999998</v>
      </c>
      <c r="AD9" s="118">
        <f t="shared" ca="1" si="14"/>
        <v>0</v>
      </c>
    </row>
    <row r="10" spans="1:30">
      <c r="B10" s="59"/>
      <c r="C10" s="59"/>
      <c r="D10" s="59"/>
      <c r="E10" s="59"/>
      <c r="F10" s="59"/>
      <c r="G10" s="59"/>
      <c r="H10" s="59" t="s">
        <v>54</v>
      </c>
      <c r="I10" s="118">
        <f ca="1">SUM(I4:I9)</f>
        <v>21617037.449999999</v>
      </c>
      <c r="J10" s="121">
        <f ca="1">SUM(J4:J9)</f>
        <v>5407500</v>
      </c>
      <c r="K10" s="121">
        <f ca="1">SUM(K4:K9)</f>
        <v>11304162.449999999</v>
      </c>
      <c r="L10" s="121">
        <f ca="1">SUM(L4:L9)</f>
        <v>4905375</v>
      </c>
      <c r="M10" s="59"/>
      <c r="N10" s="59" t="s">
        <v>54</v>
      </c>
      <c r="O10" s="118">
        <f ca="1">SUM(O4:O9)</f>
        <v>14738062.530705001</v>
      </c>
      <c r="P10" s="121">
        <f ca="1">SUM(P4:P9)</f>
        <v>6310498.4249999998</v>
      </c>
      <c r="Q10" s="121">
        <f ca="1">SUM(Q4:Q9)</f>
        <v>5272314.8932050001</v>
      </c>
      <c r="R10" s="121">
        <f ca="1">SUM(R4:R9)</f>
        <v>3155249.2124999999</v>
      </c>
      <c r="S10" s="59"/>
      <c r="T10" s="59" t="s">
        <v>54</v>
      </c>
      <c r="U10" s="118">
        <f ca="1">SUM(U4:U9)</f>
        <v>6202313.3740976304</v>
      </c>
      <c r="V10" s="121">
        <f ca="1">SUM(V4:V9)</f>
        <v>0</v>
      </c>
      <c r="W10" s="121">
        <f ca="1">SUM(W4:W9)</f>
        <v>4898130.0405101301</v>
      </c>
      <c r="X10" s="121">
        <f ca="1">SUM(X4:X9)</f>
        <v>1304183.3335874998</v>
      </c>
      <c r="Y10" s="59"/>
      <c r="Z10" s="268">
        <f>SUM(Z4:Z9)</f>
        <v>440000</v>
      </c>
      <c r="AA10" s="118">
        <f ca="1">SUM(AA4:AA9)</f>
        <v>42557413.354802623</v>
      </c>
      <c r="AB10" s="118">
        <f ca="1">SUM(AB4:AB9)</f>
        <v>11717998.425000001</v>
      </c>
      <c r="AC10" s="118">
        <f ca="1">SUM(AC4:AC9)</f>
        <v>21474607.38371513</v>
      </c>
      <c r="AD10" s="118">
        <f ca="1">SUM(AD4:AD9)</f>
        <v>9364807.5460874997</v>
      </c>
    </row>
    <row r="11" spans="1:30">
      <c r="H11" s="23"/>
      <c r="I11" s="23"/>
      <c r="J11" s="23"/>
      <c r="K11" s="23"/>
      <c r="Z11" s="37"/>
    </row>
    <row r="12" spans="1:30">
      <c r="H12" s="23"/>
      <c r="I12" s="23"/>
      <c r="J12" s="23"/>
      <c r="K12" s="23"/>
    </row>
    <row r="16" spans="1:30">
      <c r="B16" s="479" t="s">
        <v>284</v>
      </c>
      <c r="C16" s="479"/>
      <c r="D16" s="479"/>
      <c r="E16" s="479"/>
      <c r="F16" s="479"/>
      <c r="G16" s="479"/>
      <c r="H16" s="479"/>
      <c r="J16" s="479" t="s">
        <v>285</v>
      </c>
      <c r="K16" s="479"/>
      <c r="L16" s="479"/>
      <c r="M16" s="479"/>
      <c r="N16" s="479"/>
      <c r="O16" s="479"/>
      <c r="P16" s="479"/>
    </row>
    <row r="18" spans="2:33" ht="17.100000000000001" thickBot="1">
      <c r="B18" s="197" t="s">
        <v>111</v>
      </c>
      <c r="C18" s="3"/>
      <c r="D18" s="3"/>
      <c r="E18" s="3"/>
      <c r="F18" s="3" t="s">
        <v>91</v>
      </c>
      <c r="G18" s="3" t="s">
        <v>93</v>
      </c>
      <c r="H18" s="3" t="s">
        <v>94</v>
      </c>
      <c r="J18" s="197" t="s">
        <v>52</v>
      </c>
      <c r="K18" s="3"/>
      <c r="L18" s="3"/>
      <c r="M18" s="3"/>
      <c r="N18" s="3" t="s">
        <v>91</v>
      </c>
      <c r="O18" s="3" t="s">
        <v>93</v>
      </c>
      <c r="P18" s="3" t="s">
        <v>94</v>
      </c>
    </row>
    <row r="19" spans="2:33">
      <c r="B19" s="1" t="s">
        <v>276</v>
      </c>
      <c r="F19" s="235">
        <f>SUM(Assumptions!$G$10:$I$10)</f>
        <v>80</v>
      </c>
      <c r="G19" s="235">
        <f>SUM(Assumptions!$J$10:$L$10)</f>
        <v>0</v>
      </c>
      <c r="H19" s="235">
        <f>SUM(Assumptions!$M$10:$O$10)</f>
        <v>0</v>
      </c>
      <c r="J19" s="1" t="s">
        <v>143</v>
      </c>
      <c r="N19" s="235">
        <v>0</v>
      </c>
      <c r="O19" s="235">
        <v>200000</v>
      </c>
      <c r="P19" s="235">
        <v>0</v>
      </c>
    </row>
    <row r="20" spans="2:33">
      <c r="B20" s="1" t="s">
        <v>286</v>
      </c>
      <c r="F20" s="235">
        <f>Assumptions!$F$11</f>
        <v>200</v>
      </c>
      <c r="G20" s="235">
        <f>Assumptions!$F$11</f>
        <v>200</v>
      </c>
      <c r="H20" s="235">
        <f>Assumptions!$F$11</f>
        <v>200</v>
      </c>
      <c r="J20" s="1" t="s">
        <v>287</v>
      </c>
      <c r="M20" s="306">
        <v>0</v>
      </c>
      <c r="N20" s="144">
        <f ca="1">M20*(1+Assumptions!V76/Assumptions!V77)^(YEAR(Assumptions!E4)-YEAR(TODAY()))</f>
        <v>0</v>
      </c>
      <c r="O20" s="144">
        <f ca="1">M20*(1+Assumptions!W76/Assumptions!W77)^(YEAR(Assumptions!E5)-YEAR(TODAY()))</f>
        <v>0</v>
      </c>
      <c r="P20" s="144">
        <f ca="1">M20*(1+Assumptions!X76/Assumptions!X77)^(YEAR(Assumptions!E6)-YEAR(TODAY()))</f>
        <v>0</v>
      </c>
    </row>
    <row r="21" spans="2:33">
      <c r="B21" s="1" t="s">
        <v>129</v>
      </c>
      <c r="F21" s="91">
        <f>F20*F19</f>
        <v>16000</v>
      </c>
      <c r="G21" s="91">
        <f>G20*G19</f>
        <v>0</v>
      </c>
      <c r="H21" s="91">
        <f>H20*H19</f>
        <v>0</v>
      </c>
      <c r="J21" s="1" t="s">
        <v>288</v>
      </c>
      <c r="N21" s="147">
        <f ca="1">N20*N19</f>
        <v>0</v>
      </c>
      <c r="O21" s="147">
        <f t="shared" ref="O21:P21" ca="1" si="19">O20*O19</f>
        <v>0</v>
      </c>
      <c r="P21" s="147">
        <f t="shared" ca="1" si="19"/>
        <v>0</v>
      </c>
    </row>
    <row r="22" spans="2:33">
      <c r="B22" s="1" t="s">
        <v>112</v>
      </c>
      <c r="F22" s="53">
        <v>0.75</v>
      </c>
      <c r="G22" s="53">
        <v>0.75</v>
      </c>
      <c r="H22" s="53">
        <v>0.75</v>
      </c>
      <c r="N22" s="53"/>
      <c r="O22" s="53"/>
      <c r="P22" s="53"/>
    </row>
    <row r="23" spans="2:33">
      <c r="B23" s="1" t="s">
        <v>143</v>
      </c>
      <c r="F23" s="91">
        <f>F21/F22</f>
        <v>21333.333333333332</v>
      </c>
      <c r="G23" s="91">
        <f>G21/G22</f>
        <v>0</v>
      </c>
      <c r="H23" s="91">
        <f>H21/H22</f>
        <v>0</v>
      </c>
      <c r="J23" s="1" t="s">
        <v>289</v>
      </c>
      <c r="N23" s="147">
        <f ca="1">N21*Budget!$D$36</f>
        <v>0</v>
      </c>
      <c r="O23" s="147">
        <f ca="1">O21*Budget!$D$36</f>
        <v>0</v>
      </c>
      <c r="P23" s="147">
        <f ca="1">P21*Budget!$D$36</f>
        <v>0</v>
      </c>
    </row>
    <row r="24" spans="2:33">
      <c r="B24" s="1" t="s">
        <v>287</v>
      </c>
      <c r="E24" s="144">
        <f>280</f>
        <v>280</v>
      </c>
      <c r="F24" s="144">
        <f ca="1">E24*(1+Assumptions!V76/Assumptions!V77)^(YEAR(Assumptions!E4)-YEAR(TODAY()))</f>
        <v>288.40000000000003</v>
      </c>
      <c r="G24" s="144">
        <f ca="1">E24*(1+Assumptions!W76/Assumptions!W77)^(YEAR(Assumptions!E5)-YEAR(TODAY()))</f>
        <v>305.96356000000003</v>
      </c>
      <c r="H24" s="144">
        <f ca="1">E24*(1+Assumptions!X76/Assumptions!X77)^(YEAR(Assumptions!E6)-YEAR(TODAY()))</f>
        <v>324.59674080399998</v>
      </c>
    </row>
    <row r="25" spans="2:33">
      <c r="B25" s="1" t="s">
        <v>290</v>
      </c>
      <c r="F25" s="147">
        <f ca="1">IFERROR(F24*F23/F19,"")</f>
        <v>76906.666666666672</v>
      </c>
      <c r="G25" s="147">
        <f ca="1">IFERROR(G24*G23/G19,0)</f>
        <v>0</v>
      </c>
      <c r="H25" s="147">
        <f ca="1">IFERROR(H24*H23/H19,0)</f>
        <v>0</v>
      </c>
      <c r="J25" s="1" t="s">
        <v>291</v>
      </c>
      <c r="N25" s="23"/>
      <c r="O25" s="23" t="s">
        <v>292</v>
      </c>
      <c r="P25" s="23"/>
      <c r="AC25" s="1" t="s">
        <v>293</v>
      </c>
    </row>
    <row r="26" spans="2:33">
      <c r="B26" s="1" t="s">
        <v>288</v>
      </c>
      <c r="F26" s="147">
        <f ca="1">F24*F23</f>
        <v>6152533.333333334</v>
      </c>
      <c r="G26" s="147">
        <f ca="1">G24*G23</f>
        <v>0</v>
      </c>
      <c r="H26" s="147">
        <f ca="1">H24*H23</f>
        <v>0</v>
      </c>
      <c r="J26" s="1" t="s">
        <v>294</v>
      </c>
      <c r="L26" s="50"/>
      <c r="N26" s="147">
        <f>SUMIF(Land!$G$7:$G$27,'Public and Infrastructure'!N25,Land!$P$7:$P$27)</f>
        <v>0</v>
      </c>
      <c r="O26" s="147">
        <f>SUMIF(Land!$G$7:$G$27,'Public and Infrastructure'!O25,Land!$P$7:$P$27)</f>
        <v>2</v>
      </c>
      <c r="P26" s="147">
        <f>SUMIF(Land!$G$7:$G$27,'Public and Infrastructure'!P25,Land!$P$7:$P$27)</f>
        <v>0</v>
      </c>
      <c r="AC26" s="34">
        <v>0.14000000000000001</v>
      </c>
    </row>
    <row r="27" spans="2:33">
      <c r="J27" s="262" t="s">
        <v>295</v>
      </c>
      <c r="AA27" s="1" t="s">
        <v>296</v>
      </c>
    </row>
    <row r="28" spans="2:33">
      <c r="B28" s="1" t="s">
        <v>289</v>
      </c>
      <c r="F28" s="147">
        <f ca="1">F26*Budget!$D$36</f>
        <v>1538133.3333333335</v>
      </c>
      <c r="G28" s="147">
        <f ca="1">G26*Budget!$D$36</f>
        <v>0</v>
      </c>
      <c r="H28" s="147">
        <f ca="1">H26*Budget!$D$36</f>
        <v>0</v>
      </c>
      <c r="J28" s="1" t="s">
        <v>297</v>
      </c>
      <c r="N28" s="147">
        <v>0</v>
      </c>
      <c r="O28" s="147">
        <v>200000</v>
      </c>
      <c r="P28" s="147">
        <v>0</v>
      </c>
      <c r="AA28" s="1" t="s">
        <v>298</v>
      </c>
      <c r="AC28" s="133">
        <v>25000</v>
      </c>
      <c r="AD28" s="1" t="s">
        <v>299</v>
      </c>
      <c r="AG28" s="143">
        <f>AC28/450</f>
        <v>55.555555555555557</v>
      </c>
    </row>
    <row r="29" spans="2:33">
      <c r="AA29" s="1" t="s">
        <v>223</v>
      </c>
      <c r="AC29" s="131">
        <v>15</v>
      </c>
    </row>
    <row r="30" spans="2:33">
      <c r="B30" s="1" t="s">
        <v>291</v>
      </c>
      <c r="F30" s="23" t="s">
        <v>300</v>
      </c>
      <c r="G30" s="23"/>
      <c r="H30" s="23"/>
      <c r="J30" s="1" t="s">
        <v>301</v>
      </c>
      <c r="M30" s="145">
        <v>0.03</v>
      </c>
      <c r="N30" s="147">
        <f ca="1">(N23+N21+N26+N28)*$E$35</f>
        <v>0</v>
      </c>
      <c r="O30" s="147">
        <f ca="1">(O23+O21)*$E$35</f>
        <v>0</v>
      </c>
      <c r="P30" s="147">
        <f ca="1">(P23+P21)*$E$35</f>
        <v>0</v>
      </c>
      <c r="AA30" s="1" t="s">
        <v>302</v>
      </c>
      <c r="AC30" s="133">
        <v>85</v>
      </c>
    </row>
    <row r="31" spans="2:33">
      <c r="B31" s="1" t="s">
        <v>303</v>
      </c>
      <c r="D31" s="50"/>
      <c r="F31" s="147">
        <f>SUMIF(Land!$G$7:$G$27,'Public and Infrastructure'!F30,Land!$P$7:$P$27)</f>
        <v>15109292</v>
      </c>
      <c r="G31" s="147">
        <f>SUMIF(Land!$G$7:$G$27,'Public and Infrastructure'!G30,Land!$P$7:$P$27)</f>
        <v>0</v>
      </c>
      <c r="H31" s="147">
        <f>SUMIF(Land!$G$7:$G$27,'Public and Infrastructure'!H30,Land!$P$7:$P$27)</f>
        <v>0</v>
      </c>
      <c r="Z31" s="1" t="s">
        <v>304</v>
      </c>
      <c r="AA31" s="1" t="s">
        <v>305</v>
      </c>
      <c r="AC31" s="133">
        <v>324</v>
      </c>
      <c r="AD31" s="1" t="s">
        <v>306</v>
      </c>
    </row>
    <row r="32" spans="2:33">
      <c r="Z32" s="1" t="s">
        <v>304</v>
      </c>
      <c r="AA32" s="1" t="s">
        <v>307</v>
      </c>
      <c r="AC32" s="133">
        <v>305</v>
      </c>
      <c r="AD32" s="1" t="s">
        <v>308</v>
      </c>
    </row>
    <row r="33" spans="2:39">
      <c r="B33" s="1" t="s">
        <v>297</v>
      </c>
      <c r="F33" s="147">
        <v>20000</v>
      </c>
      <c r="G33" s="147">
        <v>0</v>
      </c>
      <c r="H33" s="147">
        <v>0</v>
      </c>
      <c r="Z33" s="1" t="s">
        <v>304</v>
      </c>
      <c r="AA33" s="1" t="s">
        <v>272</v>
      </c>
      <c r="AC33" s="133">
        <v>208</v>
      </c>
      <c r="AD33" s="1" t="s">
        <v>309</v>
      </c>
    </row>
    <row r="34" spans="2:39">
      <c r="Z34" s="1" t="s">
        <v>304</v>
      </c>
      <c r="AA34" s="1" t="s">
        <v>310</v>
      </c>
      <c r="AC34" s="133">
        <v>218</v>
      </c>
      <c r="AD34" s="1" t="s">
        <v>311</v>
      </c>
    </row>
    <row r="35" spans="2:39">
      <c r="B35" s="1" t="s">
        <v>301</v>
      </c>
      <c r="E35" s="53">
        <v>0.03</v>
      </c>
      <c r="F35" s="147">
        <f ca="1">(F28+F26+F31+F33)*$E$35</f>
        <v>684598.76</v>
      </c>
      <c r="G35" s="147">
        <f ca="1">(G28+G26)*$E$35</f>
        <v>0</v>
      </c>
      <c r="H35" s="147">
        <f ca="1">(H28+H26)*$E$35</f>
        <v>0</v>
      </c>
      <c r="Z35" s="1" t="s">
        <v>304</v>
      </c>
      <c r="AA35" s="1" t="s">
        <v>124</v>
      </c>
      <c r="AC35" s="133">
        <v>188</v>
      </c>
      <c r="AD35" s="1" t="s">
        <v>312</v>
      </c>
    </row>
    <row r="36" spans="2:39" ht="17.100000000000001" thickBot="1">
      <c r="AA36" s="1" t="s">
        <v>313</v>
      </c>
      <c r="AC36" s="133">
        <v>100</v>
      </c>
    </row>
    <row r="37" spans="2:39" ht="17.100000000000001" thickBot="1">
      <c r="B37" s="261" t="s">
        <v>314</v>
      </c>
      <c r="C37" s="257"/>
      <c r="D37" s="257"/>
      <c r="E37" s="257"/>
      <c r="F37" s="241">
        <f ca="1">-F35+F31+F28+F26+F33</f>
        <v>22135359.906666666</v>
      </c>
      <c r="G37" s="241">
        <f ca="1">-G35+G31+G28+G26+G33</f>
        <v>0</v>
      </c>
      <c r="H37" s="242">
        <f ca="1">-H35+H31+H28+H26+H33</f>
        <v>0</v>
      </c>
      <c r="J37" s="261" t="s">
        <v>314</v>
      </c>
      <c r="K37" s="257"/>
      <c r="L37" s="257"/>
      <c r="M37" s="257"/>
      <c r="N37" s="241">
        <f ca="1">-N30+N26+N23+N21+N28</f>
        <v>0</v>
      </c>
      <c r="O37" s="241">
        <f ca="1">-O30+O26+O23+O21+O28</f>
        <v>200002</v>
      </c>
      <c r="P37" s="242">
        <f ca="1">-P30+P26+P23+P21+P28</f>
        <v>0</v>
      </c>
      <c r="AA37" s="1" t="s">
        <v>315</v>
      </c>
      <c r="AC37" s="133">
        <v>293</v>
      </c>
    </row>
    <row r="38" spans="2:39">
      <c r="AA38" s="1" t="s">
        <v>71</v>
      </c>
      <c r="AC38" s="133">
        <v>75</v>
      </c>
    </row>
    <row r="39" spans="2:39">
      <c r="B39" s="1" t="s">
        <v>67</v>
      </c>
      <c r="E39" s="53">
        <v>0.8</v>
      </c>
      <c r="F39" s="147">
        <f ca="1">F37*$E$39</f>
        <v>17708287.925333332</v>
      </c>
      <c r="G39" s="147">
        <f t="shared" ref="G39:H39" ca="1" si="20">G37*$E$39</f>
        <v>0</v>
      </c>
      <c r="H39" s="147">
        <f t="shared" ca="1" si="20"/>
        <v>0</v>
      </c>
      <c r="J39" s="1" t="s">
        <v>67</v>
      </c>
      <c r="M39" s="53">
        <v>0.3</v>
      </c>
      <c r="N39" s="147">
        <f ca="1">N37*L39</f>
        <v>0</v>
      </c>
      <c r="O39" s="147">
        <f ca="1">O37*M39</f>
        <v>60000.6</v>
      </c>
      <c r="P39" s="147">
        <f ca="1">P37*N39</f>
        <v>0</v>
      </c>
      <c r="AA39" s="1" t="s">
        <v>316</v>
      </c>
      <c r="AC39" s="133">
        <v>188</v>
      </c>
    </row>
    <row r="40" spans="2:39">
      <c r="B40" s="1" t="s">
        <v>69</v>
      </c>
      <c r="E40" s="53">
        <v>0</v>
      </c>
      <c r="F40" s="147">
        <f ca="1">$E$40*F37</f>
        <v>0</v>
      </c>
      <c r="G40" s="147">
        <f t="shared" ref="G40:H40" ca="1" si="21">$E$40*G37</f>
        <v>0</v>
      </c>
      <c r="H40" s="147">
        <f t="shared" ca="1" si="21"/>
        <v>0</v>
      </c>
      <c r="J40" s="1" t="s">
        <v>317</v>
      </c>
      <c r="M40" s="53">
        <v>0.7</v>
      </c>
      <c r="N40" s="147">
        <f ca="1">N37*L40</f>
        <v>0</v>
      </c>
      <c r="O40" s="147">
        <f ca="1">O37*M40</f>
        <v>140001.4</v>
      </c>
      <c r="P40" s="147">
        <f ca="1">P37*N40</f>
        <v>0</v>
      </c>
      <c r="AA40" s="1" t="s">
        <v>318</v>
      </c>
      <c r="AC40" s="133">
        <v>150</v>
      </c>
    </row>
    <row r="41" spans="2:39">
      <c r="B41" s="1" t="s">
        <v>319</v>
      </c>
      <c r="E41" s="53">
        <v>0.2</v>
      </c>
      <c r="F41" s="147">
        <f ca="1">F37*$E$41</f>
        <v>4427071.9813333331</v>
      </c>
      <c r="G41" s="147">
        <f t="shared" ref="G41:H41" ca="1" si="22">G37*$E$41</f>
        <v>0</v>
      </c>
      <c r="H41" s="147">
        <f t="shared" ca="1" si="22"/>
        <v>0</v>
      </c>
      <c r="J41" s="1" t="s">
        <v>319</v>
      </c>
      <c r="M41" s="53">
        <v>0</v>
      </c>
      <c r="N41" s="147">
        <f ca="1">N37*L41</f>
        <v>0</v>
      </c>
      <c r="O41" s="147">
        <f ca="1">O37*M41</f>
        <v>0</v>
      </c>
      <c r="P41" s="147">
        <f ca="1">P37*N41</f>
        <v>0</v>
      </c>
      <c r="AA41" s="1" t="s">
        <v>320</v>
      </c>
      <c r="AC41" s="133">
        <v>300</v>
      </c>
    </row>
    <row r="42" spans="2:39">
      <c r="AI42" s="1" t="s">
        <v>321</v>
      </c>
    </row>
    <row r="44" spans="2:39">
      <c r="B44" s="479" t="s">
        <v>322</v>
      </c>
      <c r="C44" s="479"/>
      <c r="D44" s="479"/>
      <c r="E44" s="479"/>
      <c r="F44" s="479"/>
      <c r="G44" s="479"/>
      <c r="H44" s="479"/>
      <c r="I44" s="479"/>
      <c r="AA44" s="1" t="s">
        <v>323</v>
      </c>
      <c r="AC44" s="23" t="s">
        <v>54</v>
      </c>
      <c r="AI44" s="1" t="s">
        <v>54</v>
      </c>
      <c r="AJ44" s="1" t="s">
        <v>91</v>
      </c>
      <c r="AK44" s="1" t="s">
        <v>93</v>
      </c>
      <c r="AL44" s="1" t="s">
        <v>94</v>
      </c>
      <c r="AM44" s="1" t="s">
        <v>54</v>
      </c>
    </row>
    <row r="45" spans="2:39" ht="17.100000000000001" thickBot="1">
      <c r="B45" s="3"/>
      <c r="C45" s="3"/>
      <c r="D45" s="3"/>
      <c r="E45" s="3"/>
      <c r="F45" s="3" t="s">
        <v>91</v>
      </c>
      <c r="G45" s="3" t="s">
        <v>93</v>
      </c>
      <c r="H45" s="3" t="s">
        <v>94</v>
      </c>
      <c r="I45" s="3" t="s">
        <v>54</v>
      </c>
      <c r="AA45" s="262" t="s">
        <v>70</v>
      </c>
      <c r="AC45" s="141">
        <f ca="1">AA4</f>
        <v>8806500</v>
      </c>
      <c r="AI45" s="1" t="s">
        <v>67</v>
      </c>
      <c r="AJ45" s="146">
        <v>23115787.925333332</v>
      </c>
      <c r="AK45" s="146">
        <v>134683967</v>
      </c>
      <c r="AL45" s="146">
        <v>6202313.3740976304</v>
      </c>
      <c r="AM45" s="146">
        <v>164002068.29943097</v>
      </c>
    </row>
    <row r="46" spans="2:39">
      <c r="B46" s="1" t="s">
        <v>324</v>
      </c>
      <c r="AA46" s="262" t="s">
        <v>71</v>
      </c>
      <c r="AC46" s="141">
        <f ca="1">AA5</f>
        <v>5216733.3343499992</v>
      </c>
      <c r="AI46" s="1" t="s">
        <v>68</v>
      </c>
      <c r="AJ46" s="146">
        <v>15731234.431333333</v>
      </c>
      <c r="AK46" s="146">
        <v>5272314.8932050001</v>
      </c>
      <c r="AL46" s="146">
        <v>4898130.0405101301</v>
      </c>
      <c r="AM46" s="146">
        <v>25901679.365048464</v>
      </c>
    </row>
    <row r="47" spans="2:39">
      <c r="B47" s="262" t="s">
        <v>70</v>
      </c>
      <c r="F47" s="147">
        <f ca="1">J4</f>
        <v>0</v>
      </c>
      <c r="G47" s="147">
        <f ca="1">P4</f>
        <v>0</v>
      </c>
      <c r="H47" s="141">
        <f ca="1">U4</f>
        <v>0</v>
      </c>
      <c r="I47" s="147">
        <f ca="1">SUM(F47:H47)</f>
        <v>0</v>
      </c>
      <c r="AA47" s="262" t="s">
        <v>73</v>
      </c>
      <c r="AC47" s="141">
        <f ca="1">AA6</f>
        <v>23435996.850000001</v>
      </c>
      <c r="AI47" s="1" t="s">
        <v>69</v>
      </c>
      <c r="AJ47" s="146">
        <v>4905375</v>
      </c>
      <c r="AK47" s="146">
        <v>133138536.3875</v>
      </c>
      <c r="AL47" s="146">
        <v>1304183.3335874998</v>
      </c>
      <c r="AM47" s="146">
        <v>139348094.72108749</v>
      </c>
    </row>
    <row r="48" spans="2:39">
      <c r="B48" s="262" t="s">
        <v>71</v>
      </c>
      <c r="F48" s="147">
        <f ca="1">J5</f>
        <v>0</v>
      </c>
      <c r="G48" s="147">
        <f ca="1">P5</f>
        <v>0</v>
      </c>
      <c r="H48" s="141">
        <f ca="1">U5</f>
        <v>5216733.3343499992</v>
      </c>
      <c r="I48" s="147">
        <f t="shared" ref="I48:I54" ca="1" si="23">SUM(F48:H48)</f>
        <v>5216733.3343499992</v>
      </c>
      <c r="AA48" s="262" t="s">
        <v>325</v>
      </c>
      <c r="AC48" s="141">
        <f t="shared" ref="AC48:AC49" ca="1" si="24">AA8</f>
        <v>2789717.5579526308</v>
      </c>
      <c r="AI48" s="1" t="s">
        <v>54</v>
      </c>
      <c r="AJ48" s="146">
        <v>43752397.356666669</v>
      </c>
      <c r="AK48" s="146">
        <v>273094818.28070498</v>
      </c>
      <c r="AL48" s="146">
        <v>12404626.748195259</v>
      </c>
      <c r="AM48" s="146">
        <v>329251842.38556695</v>
      </c>
    </row>
    <row r="49" spans="2:39">
      <c r="B49" s="262" t="s">
        <v>73</v>
      </c>
      <c r="F49" s="147">
        <f ca="1">J6</f>
        <v>5407500</v>
      </c>
      <c r="G49" s="147">
        <f ca="1">P6</f>
        <v>6310498.4249999998</v>
      </c>
      <c r="H49" s="141">
        <f ca="1">U6</f>
        <v>0</v>
      </c>
      <c r="I49" s="147">
        <f t="shared" ca="1" si="23"/>
        <v>11717998.425000001</v>
      </c>
      <c r="AA49" s="262" t="s">
        <v>77</v>
      </c>
      <c r="AC49" s="141">
        <f t="shared" ca="1" si="24"/>
        <v>2308465.6124999998</v>
      </c>
    </row>
    <row r="50" spans="2:39">
      <c r="B50" s="262" t="s">
        <v>136</v>
      </c>
      <c r="F50" s="147">
        <f ca="1">J7</f>
        <v>0</v>
      </c>
      <c r="G50" s="147">
        <f ca="1">P7</f>
        <v>0</v>
      </c>
      <c r="H50" s="141">
        <f ca="1">U7</f>
        <v>0</v>
      </c>
      <c r="I50" s="147">
        <f t="shared" ref="I50" ca="1" si="25">SUM(F50:H50)</f>
        <v>0</v>
      </c>
      <c r="AA50" s="262" t="s">
        <v>126</v>
      </c>
      <c r="AC50" s="147">
        <f ca="1">SUM(F37:H37)</f>
        <v>22135359.906666666</v>
      </c>
      <c r="AJ50" s="1" t="s">
        <v>91</v>
      </c>
      <c r="AK50" s="1" t="s">
        <v>93</v>
      </c>
      <c r="AL50" s="1" t="s">
        <v>94</v>
      </c>
      <c r="AM50" s="1" t="s">
        <v>54</v>
      </c>
    </row>
    <row r="51" spans="2:39">
      <c r="B51" s="262" t="s">
        <v>325</v>
      </c>
      <c r="F51" s="147">
        <f t="shared" ref="F51:F52" ca="1" si="26">J8</f>
        <v>0</v>
      </c>
      <c r="G51" s="147">
        <f t="shared" ref="G51:G52" ca="1" si="27">P8</f>
        <v>0</v>
      </c>
      <c r="H51" s="141">
        <f t="shared" ref="H51:H52" ca="1" si="28">U8</f>
        <v>985580.03974763083</v>
      </c>
      <c r="I51" s="147">
        <f t="shared" ca="1" si="23"/>
        <v>985580.03974763083</v>
      </c>
      <c r="AA51" s="262" t="s">
        <v>136</v>
      </c>
      <c r="AC51" s="147">
        <f ca="1">AA7</f>
        <v>0</v>
      </c>
      <c r="AI51" s="1" t="s">
        <v>67</v>
      </c>
      <c r="AJ51" s="85">
        <f>AJ45/AJ48</f>
        <v>0.52833191600668072</v>
      </c>
      <c r="AK51" s="85">
        <f t="shared" ref="AK51:AL51" si="29">AK45/AK48</f>
        <v>0.49317657452424779</v>
      </c>
      <c r="AL51" s="85">
        <f t="shared" si="29"/>
        <v>0.50000000000000011</v>
      </c>
      <c r="AM51" s="85">
        <f t="shared" ref="AM51" si="30">AM45/AM48</f>
        <v>0.49810524099475817</v>
      </c>
    </row>
    <row r="52" spans="2:39">
      <c r="B52" s="262" t="s">
        <v>77</v>
      </c>
      <c r="F52" s="147">
        <f t="shared" ca="1" si="26"/>
        <v>0</v>
      </c>
      <c r="G52" s="147">
        <f t="shared" ca="1" si="27"/>
        <v>0</v>
      </c>
      <c r="H52" s="141">
        <f t="shared" ca="1" si="28"/>
        <v>0</v>
      </c>
      <c r="I52" s="147">
        <f t="shared" ca="1" si="23"/>
        <v>0</v>
      </c>
      <c r="AA52" s="262" t="s">
        <v>52</v>
      </c>
      <c r="AC52" s="147">
        <f ca="1">SUM(N37:P37)</f>
        <v>200002</v>
      </c>
      <c r="AI52" s="1" t="s">
        <v>68</v>
      </c>
      <c r="AJ52" s="85">
        <f>AJ46/AJ48</f>
        <v>0.35955137047904695</v>
      </c>
      <c r="AK52" s="85">
        <f t="shared" ref="AK52:AL52" si="31">AK46/AK48</f>
        <v>1.9305803480261442E-2</v>
      </c>
      <c r="AL52" s="85">
        <f t="shared" si="31"/>
        <v>0.39486315388109167</v>
      </c>
      <c r="AM52" s="85">
        <f t="shared" ref="AM52" si="32">AM46/AM48</f>
        <v>7.8668289833642213E-2</v>
      </c>
    </row>
    <row r="53" spans="2:39">
      <c r="B53" s="262" t="s">
        <v>126</v>
      </c>
      <c r="F53" s="147">
        <f ca="1">F39</f>
        <v>17708287.925333332</v>
      </c>
      <c r="G53" s="147">
        <f t="shared" ref="G53:H53" ca="1" si="33">G39</f>
        <v>0</v>
      </c>
      <c r="H53" s="147">
        <f t="shared" ca="1" si="33"/>
        <v>0</v>
      </c>
      <c r="I53" s="147">
        <f t="shared" ca="1" si="23"/>
        <v>17708287.925333332</v>
      </c>
      <c r="AA53" s="1" t="s">
        <v>54</v>
      </c>
      <c r="AC53" s="141">
        <f ca="1">SUM(AC45:AC52)</f>
        <v>64892775.26146929</v>
      </c>
      <c r="AI53" s="1" t="s">
        <v>69</v>
      </c>
      <c r="AJ53" s="85">
        <f>AJ47/AJ48</f>
        <v>0.11211671351427226</v>
      </c>
      <c r="AK53" s="85">
        <f t="shared" ref="AK53:AL53" si="34">AK47/AK48</f>
        <v>0.48751762199549087</v>
      </c>
      <c r="AL53" s="85">
        <f t="shared" si="34"/>
        <v>0.10513684611890838</v>
      </c>
      <c r="AM53" s="85">
        <f t="shared" ref="AM53" si="35">AM47/AM48</f>
        <v>0.42322646917159951</v>
      </c>
    </row>
    <row r="54" spans="2:39">
      <c r="B54" s="262" t="s">
        <v>52</v>
      </c>
      <c r="F54" s="147">
        <f ca="1">N39</f>
        <v>0</v>
      </c>
      <c r="G54" s="147">
        <f t="shared" ref="G54:H54" ca="1" si="36">O39</f>
        <v>60000.6</v>
      </c>
      <c r="H54" s="147">
        <f t="shared" ca="1" si="36"/>
        <v>0</v>
      </c>
      <c r="I54" s="147">
        <f t="shared" ca="1" si="23"/>
        <v>60000.6</v>
      </c>
    </row>
    <row r="55" spans="2:39">
      <c r="B55" s="1" t="s">
        <v>68</v>
      </c>
    </row>
    <row r="56" spans="2:39">
      <c r="B56" s="262" t="s">
        <v>70</v>
      </c>
      <c r="F56" s="147">
        <f ca="1">K4</f>
        <v>6604875</v>
      </c>
      <c r="G56" s="147">
        <f ca="1">Q4</f>
        <v>0</v>
      </c>
      <c r="H56" s="147">
        <f ca="1">W4</f>
        <v>0</v>
      </c>
      <c r="I56" s="147">
        <f ca="1">SUM(F56:H56)</f>
        <v>6604875</v>
      </c>
    </row>
    <row r="57" spans="2:39">
      <c r="B57" s="262" t="s">
        <v>71</v>
      </c>
      <c r="F57" s="147">
        <f ca="1">K5</f>
        <v>0</v>
      </c>
      <c r="G57" s="147">
        <f ca="1">Q5</f>
        <v>0</v>
      </c>
      <c r="H57" s="147">
        <f ca="1">W5</f>
        <v>3912550.0007624994</v>
      </c>
      <c r="I57" s="147">
        <f t="shared" ref="I57:I64" ca="1" si="37">SUM(F57:H57)</f>
        <v>3912550.0007624994</v>
      </c>
    </row>
    <row r="58" spans="2:39">
      <c r="B58" s="262" t="s">
        <v>73</v>
      </c>
      <c r="F58" s="147">
        <f ca="1">K6</f>
        <v>2703750</v>
      </c>
      <c r="G58" s="147">
        <f ca="1">Q6</f>
        <v>3155249.2124999999</v>
      </c>
      <c r="H58" s="147">
        <f ca="1">W6</f>
        <v>0</v>
      </c>
      <c r="I58" s="147">
        <f t="shared" ca="1" si="37"/>
        <v>5858999.2125000004</v>
      </c>
    </row>
    <row r="59" spans="2:39">
      <c r="B59" s="262" t="s">
        <v>325</v>
      </c>
      <c r="F59" s="147">
        <f t="shared" ref="F59:F60" ca="1" si="38">K8</f>
        <v>875412.45000000007</v>
      </c>
      <c r="G59" s="147">
        <f t="shared" ref="G59:G60" ca="1" si="39">Q8</f>
        <v>928725.06820500002</v>
      </c>
      <c r="H59" s="147">
        <f t="shared" ref="H59:H60" ca="1" si="40">W8</f>
        <v>985580.03974763083</v>
      </c>
      <c r="I59" s="147">
        <f t="shared" ca="1" si="37"/>
        <v>2789717.5579526308</v>
      </c>
    </row>
    <row r="60" spans="2:39">
      <c r="B60" s="262" t="s">
        <v>77</v>
      </c>
      <c r="F60" s="147">
        <f t="shared" ca="1" si="38"/>
        <v>1120125</v>
      </c>
      <c r="G60" s="147">
        <f t="shared" ca="1" si="39"/>
        <v>1188340.6125</v>
      </c>
      <c r="H60" s="147">
        <f t="shared" ca="1" si="40"/>
        <v>0</v>
      </c>
      <c r="I60" s="147">
        <f t="shared" ca="1" si="37"/>
        <v>2308465.6124999998</v>
      </c>
    </row>
    <row r="61" spans="2:39">
      <c r="B61" s="262" t="s">
        <v>126</v>
      </c>
      <c r="F61" s="147">
        <f ca="1">F41</f>
        <v>4427071.9813333331</v>
      </c>
      <c r="G61" s="147">
        <f t="shared" ref="G61:H61" ca="1" si="41">G41</f>
        <v>0</v>
      </c>
      <c r="H61" s="147">
        <f t="shared" ca="1" si="41"/>
        <v>0</v>
      </c>
      <c r="I61" s="147">
        <f t="shared" ca="1" si="37"/>
        <v>4427071.9813333331</v>
      </c>
    </row>
    <row r="62" spans="2:39">
      <c r="B62" s="262" t="s">
        <v>52</v>
      </c>
      <c r="F62" s="147">
        <f ca="1">N41</f>
        <v>0</v>
      </c>
      <c r="G62" s="147">
        <f t="shared" ref="G62:H62" ca="1" si="42">O41</f>
        <v>0</v>
      </c>
      <c r="H62" s="147">
        <f t="shared" ca="1" si="42"/>
        <v>0</v>
      </c>
      <c r="I62" s="147">
        <f t="shared" ca="1" si="37"/>
        <v>0</v>
      </c>
    </row>
    <row r="63" spans="2:39">
      <c r="B63" s="1" t="s">
        <v>69</v>
      </c>
      <c r="I63" s="147"/>
    </row>
    <row r="64" spans="2:39">
      <c r="B64" s="262" t="s">
        <v>70</v>
      </c>
      <c r="F64" s="147">
        <f ca="1">L4</f>
        <v>2201625</v>
      </c>
      <c r="G64" s="147">
        <f ca="1">R4</f>
        <v>0</v>
      </c>
      <c r="H64" s="147">
        <f ca="1">X4</f>
        <v>0</v>
      </c>
      <c r="I64" s="147">
        <f t="shared" ca="1" si="37"/>
        <v>2201625</v>
      </c>
    </row>
    <row r="65" spans="2:9">
      <c r="B65" s="262" t="s">
        <v>71</v>
      </c>
      <c r="F65" s="147">
        <f ca="1">L5</f>
        <v>0</v>
      </c>
      <c r="G65" s="147">
        <f ca="1">R5</f>
        <v>0</v>
      </c>
      <c r="H65" s="147">
        <f ca="1">X5</f>
        <v>1304183.3335874998</v>
      </c>
      <c r="I65" s="147">
        <f t="shared" ref="I65:I70" ca="1" si="43">SUM(F65:H65)</f>
        <v>1304183.3335874998</v>
      </c>
    </row>
    <row r="66" spans="2:9">
      <c r="B66" s="262" t="s">
        <v>73</v>
      </c>
      <c r="F66" s="147">
        <f ca="1">L6</f>
        <v>2703750</v>
      </c>
      <c r="G66" s="147">
        <f ca="1">R6</f>
        <v>3155249.2124999999</v>
      </c>
      <c r="H66" s="147">
        <f ca="1">X6</f>
        <v>0</v>
      </c>
      <c r="I66" s="147">
        <f t="shared" ca="1" si="43"/>
        <v>5858999.2125000004</v>
      </c>
    </row>
    <row r="67" spans="2:9">
      <c r="B67" s="262" t="s">
        <v>325</v>
      </c>
      <c r="F67" s="147">
        <f t="shared" ref="F67:F68" ca="1" si="44">L8</f>
        <v>0</v>
      </c>
      <c r="G67" s="147">
        <f t="shared" ref="G67:G68" ca="1" si="45">R8</f>
        <v>0</v>
      </c>
      <c r="H67" s="147">
        <f t="shared" ref="H67:H68" ca="1" si="46">X8</f>
        <v>0</v>
      </c>
      <c r="I67" s="147">
        <f t="shared" ca="1" si="43"/>
        <v>0</v>
      </c>
    </row>
    <row r="68" spans="2:9">
      <c r="B68" s="262" t="s">
        <v>77</v>
      </c>
      <c r="F68" s="147">
        <f t="shared" ca="1" si="44"/>
        <v>0</v>
      </c>
      <c r="G68" s="147">
        <f t="shared" ca="1" si="45"/>
        <v>0</v>
      </c>
      <c r="H68" s="147">
        <f t="shared" ca="1" si="46"/>
        <v>0</v>
      </c>
      <c r="I68" s="147">
        <f t="shared" ca="1" si="43"/>
        <v>0</v>
      </c>
    </row>
    <row r="69" spans="2:9">
      <c r="B69" s="262" t="s">
        <v>126</v>
      </c>
      <c r="F69" s="147">
        <f ca="1">F40</f>
        <v>0</v>
      </c>
      <c r="G69" s="147">
        <f t="shared" ref="G69:H69" ca="1" si="47">G40</f>
        <v>0</v>
      </c>
      <c r="H69" s="147">
        <f t="shared" ca="1" si="47"/>
        <v>0</v>
      </c>
      <c r="I69" s="147">
        <f t="shared" ca="1" si="43"/>
        <v>0</v>
      </c>
    </row>
    <row r="70" spans="2:9">
      <c r="B70" s="263" t="s">
        <v>52</v>
      </c>
      <c r="C70" s="216"/>
      <c r="D70" s="216"/>
      <c r="E70" s="216"/>
      <c r="F70" s="217">
        <f ca="1">N40</f>
        <v>0</v>
      </c>
      <c r="G70" s="217">
        <f t="shared" ref="G70:H70" ca="1" si="48">O40</f>
        <v>140001.4</v>
      </c>
      <c r="H70" s="217">
        <f t="shared" ca="1" si="48"/>
        <v>0</v>
      </c>
      <c r="I70" s="147">
        <f t="shared" ca="1" si="43"/>
        <v>140001.4</v>
      </c>
    </row>
    <row r="71" spans="2:9" ht="17.100000000000001" thickBot="1">
      <c r="B71" s="1" t="s">
        <v>54</v>
      </c>
    </row>
    <row r="72" spans="2:9">
      <c r="B72" s="1" t="s">
        <v>67</v>
      </c>
      <c r="F72" s="264">
        <f ca="1">SUM(F47:F54)</f>
        <v>23115787.925333332</v>
      </c>
      <c r="G72" s="265">
        <f ca="1">SUM(G47:G54)</f>
        <v>6370499.0249999994</v>
      </c>
      <c r="H72" s="172">
        <f ca="1">SUM(H47:H54)</f>
        <v>6202313.3740976304</v>
      </c>
      <c r="I72" s="146">
        <f ca="1">SUM(F72:H72)</f>
        <v>35688600.324430957</v>
      </c>
    </row>
    <row r="73" spans="2:9">
      <c r="B73" s="1" t="s">
        <v>68</v>
      </c>
      <c r="F73" s="266">
        <f ca="1">SUM(F56:F62)</f>
        <v>15731234.431333333</v>
      </c>
      <c r="G73" s="147">
        <f t="shared" ref="G73:H73" ca="1" si="49">SUM(G56:G62)</f>
        <v>5272314.8932050001</v>
      </c>
      <c r="H73" s="174">
        <f t="shared" ca="1" si="49"/>
        <v>4898130.0405101301</v>
      </c>
      <c r="I73" s="146">
        <f t="shared" ref="I73:I74" ca="1" si="50">SUM(F73:H73)</f>
        <v>25901679.365048464</v>
      </c>
    </row>
    <row r="74" spans="2:9" ht="17.100000000000001" thickBot="1">
      <c r="B74" s="1" t="s">
        <v>69</v>
      </c>
      <c r="F74" s="267">
        <f ca="1">SUM(F64:F70)</f>
        <v>4905375</v>
      </c>
      <c r="G74" s="176">
        <f t="shared" ref="G74:H74" ca="1" si="51">SUM(G64:G70)</f>
        <v>3295250.6124999998</v>
      </c>
      <c r="H74" s="177">
        <f t="shared" ca="1" si="51"/>
        <v>1304183.3335874998</v>
      </c>
      <c r="I74" s="146">
        <f t="shared" ca="1" si="50"/>
        <v>9504808.9460875001</v>
      </c>
    </row>
    <row r="75" spans="2:9">
      <c r="B75" s="1" t="s">
        <v>54</v>
      </c>
      <c r="F75" s="147">
        <f ca="1">SUM(F72:F74)</f>
        <v>43752397.356666669</v>
      </c>
      <c r="G75" s="147">
        <f t="shared" ref="G75:I75" ca="1" si="52">SUM(G72:G74)</f>
        <v>14938064.530705001</v>
      </c>
      <c r="H75" s="147">
        <f t="shared" ca="1" si="52"/>
        <v>12404626.748195259</v>
      </c>
      <c r="I75" s="147">
        <f t="shared" ca="1" si="52"/>
        <v>71095088.63556692</v>
      </c>
    </row>
  </sheetData>
  <mergeCells count="7">
    <mergeCell ref="T2:X2"/>
    <mergeCell ref="Z2:AD2"/>
    <mergeCell ref="B16:H16"/>
    <mergeCell ref="J16:P16"/>
    <mergeCell ref="B44:I44"/>
    <mergeCell ref="H2:L2"/>
    <mergeCell ref="N2:R2"/>
  </mergeCells>
  <pageMargins left="0.7" right="0.7" top="0.75" bottom="0.75" header="0.3" footer="0.3"/>
  <pageSetup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918FF-6AF4-FC43-BEE8-621E9A6AE500}">
  <sheetPr>
    <tabColor rgb="FF00B0F0"/>
  </sheetPr>
  <dimension ref="A1:U35"/>
  <sheetViews>
    <sheetView workbookViewId="0"/>
  </sheetViews>
  <sheetFormatPr defaultColWidth="10.875" defaultRowHeight="15.95"/>
  <cols>
    <col min="1" max="1" width="10.875" style="1"/>
    <col min="2" max="2" width="16.625" style="1" bestFit="1" customWidth="1"/>
    <col min="3" max="3" width="16.5" style="1" bestFit="1" customWidth="1"/>
    <col min="4" max="5" width="13.125" style="1" bestFit="1" customWidth="1"/>
    <col min="6" max="6" width="14.375" style="1" bestFit="1" customWidth="1"/>
    <col min="7" max="10" width="13.125" style="1" bestFit="1" customWidth="1"/>
    <col min="11" max="11" width="20.875" style="1" bestFit="1" customWidth="1"/>
    <col min="12" max="16" width="13.125" style="1" bestFit="1" customWidth="1"/>
    <col min="17" max="16384" width="10.875" style="1"/>
  </cols>
  <sheetData>
    <row r="1" spans="1:21">
      <c r="A1" s="76" t="s">
        <v>206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</row>
    <row r="2" spans="1:21">
      <c r="A2" s="56"/>
      <c r="B2" s="56"/>
      <c r="C2" s="57" t="s">
        <v>180</v>
      </c>
      <c r="D2" s="253">
        <v>5.5E-2</v>
      </c>
      <c r="E2" s="56"/>
      <c r="F2" s="57" t="s">
        <v>326</v>
      </c>
      <c r="G2" s="61">
        <f>C13+C22+C31</f>
        <v>1374919.8842469999</v>
      </c>
      <c r="H2" s="56"/>
      <c r="I2" s="56"/>
      <c r="J2" s="56"/>
      <c r="K2" s="56"/>
      <c r="L2" s="56"/>
      <c r="M2" s="56"/>
    </row>
    <row r="3" spans="1:21">
      <c r="A3" s="56"/>
      <c r="B3" s="56"/>
      <c r="C3" s="58" t="s">
        <v>194</v>
      </c>
      <c r="D3" s="254">
        <v>0.75</v>
      </c>
      <c r="E3" s="56"/>
      <c r="F3" s="62" t="s">
        <v>327</v>
      </c>
      <c r="G3" s="63">
        <f ca="1">L33+K24+K15</f>
        <v>18336543.162983228</v>
      </c>
      <c r="H3" s="56"/>
      <c r="I3" s="64"/>
      <c r="J3" s="56"/>
      <c r="K3" s="56"/>
      <c r="L3" s="56"/>
      <c r="M3" s="56"/>
    </row>
    <row r="4" spans="1:21">
      <c r="A4" s="56"/>
      <c r="B4" s="56"/>
      <c r="C4" s="58" t="s">
        <v>328</v>
      </c>
      <c r="D4" s="181">
        <f>Land!C2</f>
        <v>1.3741E-2</v>
      </c>
      <c r="E4" s="56"/>
      <c r="F4" s="65" t="s">
        <v>329</v>
      </c>
      <c r="G4" s="66">
        <f ca="1">G3-G2</f>
        <v>16961623.278736226</v>
      </c>
      <c r="H4" s="56"/>
      <c r="I4" s="64"/>
      <c r="J4" s="56"/>
      <c r="K4" s="56"/>
      <c r="L4" s="56"/>
      <c r="M4" s="56"/>
    </row>
    <row r="5" spans="1:21">
      <c r="A5" s="56"/>
      <c r="B5" s="56"/>
      <c r="C5" s="58" t="s">
        <v>330</v>
      </c>
      <c r="D5" s="254">
        <v>0.85</v>
      </c>
      <c r="E5" s="56"/>
      <c r="F5" s="64"/>
      <c r="G5" s="56"/>
      <c r="H5" s="56"/>
      <c r="I5" s="56"/>
      <c r="J5" s="56"/>
      <c r="K5" s="56"/>
      <c r="L5" s="56"/>
      <c r="M5" s="56"/>
    </row>
    <row r="6" spans="1:21">
      <c r="A6" s="56"/>
      <c r="B6" s="56"/>
      <c r="C6" s="60" t="s">
        <v>331</v>
      </c>
      <c r="D6" s="255">
        <v>7.0000000000000007E-2</v>
      </c>
      <c r="E6" s="56"/>
      <c r="F6" s="56"/>
      <c r="G6" s="56"/>
      <c r="H6" s="56"/>
      <c r="I6" s="56"/>
      <c r="J6" s="56"/>
      <c r="K6" s="56"/>
      <c r="L6" s="56"/>
      <c r="M6" s="56"/>
    </row>
    <row r="7" spans="1:2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</row>
    <row r="8" spans="1:2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</row>
    <row r="9" spans="1:2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</row>
    <row r="10" spans="1:21">
      <c r="A10" s="56"/>
      <c r="B10" s="67" t="s">
        <v>91</v>
      </c>
      <c r="C10" s="59">
        <f>YEAR(Assumptions!D4)</f>
        <v>2022</v>
      </c>
      <c r="D10" s="59">
        <f>C10+1</f>
        <v>2023</v>
      </c>
      <c r="E10" s="59">
        <f t="shared" ref="E10:L10" si="0">D10+1</f>
        <v>2024</v>
      </c>
      <c r="F10" s="59">
        <f t="shared" si="0"/>
        <v>2025</v>
      </c>
      <c r="G10" s="59">
        <f t="shared" si="0"/>
        <v>2026</v>
      </c>
      <c r="H10" s="59">
        <f t="shared" si="0"/>
        <v>2027</v>
      </c>
      <c r="I10" s="59">
        <f t="shared" si="0"/>
        <v>2028</v>
      </c>
      <c r="J10" s="59">
        <f t="shared" si="0"/>
        <v>2029</v>
      </c>
      <c r="K10" s="59">
        <f t="shared" si="0"/>
        <v>2030</v>
      </c>
      <c r="L10" s="59">
        <f t="shared" si="0"/>
        <v>2031</v>
      </c>
      <c r="M10" s="59">
        <f t="shared" ref="M10:P11" si="1">L10+1</f>
        <v>2032</v>
      </c>
      <c r="N10" s="59">
        <f t="shared" si="1"/>
        <v>2033</v>
      </c>
      <c r="O10" s="59">
        <f t="shared" si="1"/>
        <v>2034</v>
      </c>
      <c r="P10" s="59">
        <f t="shared" si="1"/>
        <v>2035</v>
      </c>
      <c r="Q10" s="59">
        <f t="shared" ref="Q10:U10" si="2">P10+1</f>
        <v>2036</v>
      </c>
      <c r="R10" s="59">
        <f t="shared" si="2"/>
        <v>2037</v>
      </c>
      <c r="S10" s="59">
        <f t="shared" si="2"/>
        <v>2038</v>
      </c>
      <c r="T10" s="59">
        <f t="shared" si="2"/>
        <v>2039</v>
      </c>
      <c r="U10" s="59">
        <f t="shared" si="2"/>
        <v>2040</v>
      </c>
    </row>
    <row r="11" spans="1:21" ht="17.100000000000001" thickBot="1">
      <c r="A11" s="56"/>
      <c r="B11" s="56" t="s">
        <v>332</v>
      </c>
      <c r="C11" s="68">
        <v>0</v>
      </c>
      <c r="D11" s="68">
        <f>C11+1</f>
        <v>1</v>
      </c>
      <c r="E11" s="68">
        <f t="shared" ref="E11:L11" si="3">D11+1</f>
        <v>2</v>
      </c>
      <c r="F11" s="68">
        <f t="shared" si="3"/>
        <v>3</v>
      </c>
      <c r="G11" s="68">
        <f t="shared" si="3"/>
        <v>4</v>
      </c>
      <c r="H11" s="68">
        <f t="shared" si="3"/>
        <v>5</v>
      </c>
      <c r="I11" s="68">
        <f t="shared" si="3"/>
        <v>6</v>
      </c>
      <c r="J11" s="68">
        <f t="shared" si="3"/>
        <v>7</v>
      </c>
      <c r="K11" s="68">
        <f t="shared" si="3"/>
        <v>8</v>
      </c>
      <c r="L11" s="68">
        <f t="shared" si="3"/>
        <v>9</v>
      </c>
      <c r="M11" s="68">
        <f t="shared" si="1"/>
        <v>10</v>
      </c>
      <c r="N11" s="68">
        <f t="shared" si="1"/>
        <v>11</v>
      </c>
      <c r="O11" s="68">
        <f t="shared" si="1"/>
        <v>12</v>
      </c>
      <c r="P11" s="68">
        <f t="shared" si="1"/>
        <v>13</v>
      </c>
      <c r="Q11" s="68">
        <f t="shared" ref="Q11:U11" si="4">P11+1</f>
        <v>14</v>
      </c>
      <c r="R11" s="68">
        <f t="shared" si="4"/>
        <v>15</v>
      </c>
      <c r="S11" s="68">
        <f t="shared" si="4"/>
        <v>16</v>
      </c>
      <c r="T11" s="68">
        <f t="shared" si="4"/>
        <v>17</v>
      </c>
      <c r="U11" s="68">
        <f t="shared" si="4"/>
        <v>18</v>
      </c>
    </row>
    <row r="12" spans="1:21">
      <c r="A12" s="56"/>
      <c r="B12" s="56" t="s">
        <v>333</v>
      </c>
      <c r="C12" s="69">
        <f>SUMIF(Land!$D$7:$D$27,TIF!$B10,Land!$P$7:$P$27)</f>
        <v>56664292</v>
      </c>
      <c r="D12" s="69">
        <f>SUMIF(Land!$D$7:$D$27,TIF!$B10,Land!$P$7:$P$27)</f>
        <v>56664292</v>
      </c>
      <c r="E12" s="69">
        <f>SUMIF(Land!$D$7:$D$27,TIF!$B10,Land!$P$7:$P$27)</f>
        <v>56664292</v>
      </c>
      <c r="F12" s="69">
        <f>SUMIF(Land!$D$7:$D$27,TIF!$B10,Land!$P$7:$P$27)</f>
        <v>56664292</v>
      </c>
      <c r="G12" s="69">
        <f>SUMIF(Land!$D$7:$D$27,TIF!$B10,Land!$P$7:$P$27)</f>
        <v>56664292</v>
      </c>
      <c r="H12" s="69">
        <f>SUMIF(Land!$D$7:$D$27,TIF!$B10,Land!$P$7:$P$27)</f>
        <v>56664292</v>
      </c>
      <c r="I12" s="69">
        <f>SUMIF(Land!$D$7:$D$27,TIF!$B10,Land!$P$7:$P$27)</f>
        <v>56664292</v>
      </c>
      <c r="J12" s="69">
        <f>SUMIF(Land!$D$7:$D$27,TIF!$B10,Land!$P$7:$P$27)</f>
        <v>56664292</v>
      </c>
      <c r="K12" s="69">
        <f>SUMIF(Land!$D$7:$D$27,TIF!$B10,Land!$P$7:$P$27)</f>
        <v>56664292</v>
      </c>
      <c r="L12" s="69">
        <f>SUMIF(Land!$D$7:$D$27,TIF!$B10,Land!$P$7:$P$27)</f>
        <v>56664292</v>
      </c>
      <c r="M12" s="69">
        <f>SUMIF(Land!$D$7:$D$27,TIF!$B10,Land!$P$7:$P$27)</f>
        <v>56664292</v>
      </c>
      <c r="N12" s="69">
        <f>SUMIF(Land!$D$7:$D$27,TIF!$B10,Land!$P$7:$P$27)</f>
        <v>56664292</v>
      </c>
      <c r="O12" s="69">
        <f>SUMIF(Land!$D$7:$D$27,TIF!$B10,Land!$P$7:$P$27)</f>
        <v>56664292</v>
      </c>
      <c r="P12" s="69">
        <f>SUMIF(Land!$D$7:$D$27,TIF!$B10,Land!$P$7:$P$27)</f>
        <v>56664292</v>
      </c>
    </row>
    <row r="13" spans="1:21">
      <c r="A13" s="56"/>
      <c r="B13" s="56" t="s">
        <v>334</v>
      </c>
      <c r="C13" s="70">
        <f t="shared" ref="C13:L13" si="5">C12*$D$4</f>
        <v>778624.036372</v>
      </c>
      <c r="D13" s="71">
        <f t="shared" si="5"/>
        <v>778624.036372</v>
      </c>
      <c r="E13" s="71">
        <f t="shared" si="5"/>
        <v>778624.036372</v>
      </c>
      <c r="F13" s="71">
        <f t="shared" si="5"/>
        <v>778624.036372</v>
      </c>
      <c r="G13" s="71">
        <f t="shared" si="5"/>
        <v>778624.036372</v>
      </c>
      <c r="H13" s="71">
        <f t="shared" si="5"/>
        <v>778624.036372</v>
      </c>
      <c r="I13" s="71">
        <f t="shared" si="5"/>
        <v>778624.036372</v>
      </c>
      <c r="J13" s="71">
        <f t="shared" si="5"/>
        <v>778624.036372</v>
      </c>
      <c r="K13" s="71">
        <f t="shared" si="5"/>
        <v>778624.036372</v>
      </c>
      <c r="L13" s="71">
        <f t="shared" si="5"/>
        <v>778624.036372</v>
      </c>
      <c r="M13" s="71">
        <f t="shared" ref="M13:P13" si="6">M12*$D$4</f>
        <v>778624.036372</v>
      </c>
      <c r="N13" s="71">
        <f t="shared" si="6"/>
        <v>778624.036372</v>
      </c>
      <c r="O13" s="71">
        <f t="shared" si="6"/>
        <v>778624.036372</v>
      </c>
      <c r="P13" s="71">
        <f t="shared" si="6"/>
        <v>778624.036372</v>
      </c>
    </row>
    <row r="14" spans="1:21">
      <c r="A14" s="56"/>
      <c r="B14" s="56" t="s">
        <v>335</v>
      </c>
      <c r="C14" s="72">
        <f ca="1">INDEX('Phase I Pro Forma'!$D$114:$Z$114,1,MATCH(TIF!C10,'Phase I Pro Forma'!$D$69:$Z$69,0))</f>
        <v>0</v>
      </c>
      <c r="D14" s="72">
        <f ca="1">INDEX('Phase I Pro Forma'!$D$114:$Z$114,1,MATCH(TIF!D10,'Phase I Pro Forma'!$D$69:$Z$69,0))</f>
        <v>0</v>
      </c>
      <c r="E14" s="72">
        <f ca="1">INDEX('Phase I Pro Forma'!$D$114:$Z$114,1,MATCH(TIF!E10,'Phase I Pro Forma'!$D$69:$Z$69,0))</f>
        <v>0</v>
      </c>
      <c r="F14" s="72">
        <f ca="1">INDEX('Phase I Pro Forma'!$D$114:$Z$114,1,MATCH(TIF!F10,'Phase I Pro Forma'!$D$69:$Z$69,0))</f>
        <v>0</v>
      </c>
      <c r="G14" s="72">
        <f ca="1">INDEX('Phase I Pro Forma'!$D$114:$Z$114,1,MATCH(TIF!G10,'Phase I Pro Forma'!$D$69:$Z$69,0))</f>
        <v>286082080.75492764</v>
      </c>
      <c r="H14" s="72">
        <f ca="1">INDEX('Phase I Pro Forma'!$D$114:$Z$114,1,MATCH(TIF!H10,'Phase I Pro Forma'!$D$69:$Z$69,0))</f>
        <v>375603747.39622718</v>
      </c>
      <c r="I14" s="72">
        <f ca="1">INDEX('Phase I Pro Forma'!$D$114:$Z$114,1,MATCH(TIF!I10,'Phase I Pro Forma'!$D$69:$Z$69,0))</f>
        <v>386694926.73937052</v>
      </c>
      <c r="J14" s="72">
        <f ca="1">INDEX('Phase I Pro Forma'!$D$114:$Z$114,1,MATCH(TIF!J10,'Phase I Pro Forma'!$D$69:$Z$69,0))</f>
        <v>398127261.95726877</v>
      </c>
      <c r="K14" s="72">
        <f ca="1">INDEX('Phase I Pro Forma'!$D$114:$Z$114,1,MATCH(TIF!K10,'Phase I Pro Forma'!$D$69:$Z$69,0))</f>
        <v>409911483.18326926</v>
      </c>
      <c r="L14" s="72">
        <f ca="1">INDEX('Phase I Pro Forma'!$D$114:$Z$114,1,MATCH(TIF!L10,'Phase I Pro Forma'!$D$69:$Z$69,0))</f>
        <v>422058662.19156641</v>
      </c>
      <c r="M14" s="72">
        <f ca="1">INDEX('Phase I Pro Forma'!$D$114:$Z$114,1,MATCH(TIF!M10,'Phase I Pro Forma'!$D$69:$Z$69,0))</f>
        <v>434580223.3526454</v>
      </c>
      <c r="N14" s="72">
        <f ca="1">INDEX('Phase I Pro Forma'!$D$114:$Z$114,1,MATCH(TIF!N10,'Phase I Pro Forma'!$D$69:$Z$69,0))</f>
        <v>447487954.94165558</v>
      </c>
      <c r="O14" s="72">
        <f ca="1">INDEX('Phase I Pro Forma'!$D$114:$Z$114,1,MATCH(TIF!O10,'Phase I Pro Forma'!$D$69:$Z$69,0))</f>
        <v>460794020.81112057</v>
      </c>
      <c r="P14" s="72">
        <f ca="1">INDEX('Phase I Pro Forma'!$D$114:$Z$114,1,MATCH(TIF!P10,'Phase I Pro Forma'!$D$69:$Z$69,0))</f>
        <v>474510972.4397608</v>
      </c>
    </row>
    <row r="15" spans="1:21">
      <c r="A15" s="56"/>
      <c r="B15" s="56" t="s">
        <v>336</v>
      </c>
      <c r="C15" s="70">
        <f ca="1">C14*$D$4</f>
        <v>0</v>
      </c>
      <c r="D15" s="71">
        <f t="shared" ref="D15:L15" ca="1" si="7">D14*$D$4</f>
        <v>0</v>
      </c>
      <c r="E15" s="71">
        <f t="shared" ca="1" si="7"/>
        <v>0</v>
      </c>
      <c r="F15" s="71">
        <f t="shared" ca="1" si="7"/>
        <v>0</v>
      </c>
      <c r="G15" s="71">
        <f t="shared" ca="1" si="7"/>
        <v>3931053.8716534604</v>
      </c>
      <c r="H15" s="71">
        <f t="shared" ca="1" si="7"/>
        <v>5161171.0929715578</v>
      </c>
      <c r="I15" s="71">
        <f t="shared" ca="1" si="7"/>
        <v>5313574.9883256899</v>
      </c>
      <c r="J15" s="71">
        <f t="shared" ca="1" si="7"/>
        <v>5470666.7065548301</v>
      </c>
      <c r="K15" s="71">
        <f t="shared" ca="1" si="7"/>
        <v>5632593.6904213028</v>
      </c>
      <c r="L15" s="71">
        <f t="shared" ca="1" si="7"/>
        <v>5799508.0771743143</v>
      </c>
      <c r="M15" s="71">
        <f t="shared" ref="M15:P15" ca="1" si="8">M14*$D$4</f>
        <v>5971566.8490887005</v>
      </c>
      <c r="N15" s="71">
        <f t="shared" ca="1" si="8"/>
        <v>6148931.9888532888</v>
      </c>
      <c r="O15" s="71">
        <f t="shared" ref="O15:P15" ca="1" si="9">O14*$D$4</f>
        <v>6331770.6399656078</v>
      </c>
      <c r="P15" s="71">
        <f t="shared" ca="1" si="9"/>
        <v>6520255.2722947532</v>
      </c>
    </row>
    <row r="16" spans="1:21">
      <c r="A16" s="56"/>
      <c r="B16" s="56" t="s">
        <v>329</v>
      </c>
      <c r="C16" s="73">
        <f ca="1">C15-C13</f>
        <v>-778624.036372</v>
      </c>
      <c r="D16" s="73">
        <f t="shared" ref="D16:L16" ca="1" si="10">D15-D13</f>
        <v>-778624.036372</v>
      </c>
      <c r="E16" s="73">
        <f t="shared" ca="1" si="10"/>
        <v>-778624.036372</v>
      </c>
      <c r="F16" s="73">
        <f t="shared" ca="1" si="10"/>
        <v>-778624.036372</v>
      </c>
      <c r="G16" s="73">
        <f t="shared" ca="1" si="10"/>
        <v>3152429.8352814605</v>
      </c>
      <c r="H16" s="73">
        <f t="shared" ca="1" si="10"/>
        <v>4382547.0565995574</v>
      </c>
      <c r="I16" s="73">
        <f t="shared" ca="1" si="10"/>
        <v>4534950.9519536896</v>
      </c>
      <c r="J16" s="73">
        <f t="shared" ca="1" si="10"/>
        <v>4692042.6701828297</v>
      </c>
      <c r="K16" s="73">
        <f t="shared" ca="1" si="10"/>
        <v>4853969.6540493025</v>
      </c>
      <c r="L16" s="73">
        <f t="shared" ca="1" si="10"/>
        <v>5020884.0408023139</v>
      </c>
      <c r="M16" s="73">
        <f t="shared" ref="M16:P16" ca="1" si="11">M15-M13</f>
        <v>5192942.8127167001</v>
      </c>
      <c r="N16" s="73">
        <f t="shared" ca="1" si="11"/>
        <v>5370307.9524812885</v>
      </c>
      <c r="O16" s="73">
        <f t="shared" ref="O16:P16" ca="1" si="12">O15-O13</f>
        <v>5553146.6035936074</v>
      </c>
      <c r="P16" s="73">
        <f t="shared" ca="1" si="12"/>
        <v>5741631.2359227529</v>
      </c>
    </row>
    <row r="17" spans="1:16">
      <c r="A17" s="56"/>
      <c r="B17" s="56" t="s">
        <v>194</v>
      </c>
      <c r="C17" s="305">
        <f ca="1">IF(C16*$D$3&gt;0,C16*$D$3,0)</f>
        <v>0</v>
      </c>
      <c r="D17" s="305">
        <f t="shared" ref="D17:K17" ca="1" si="13">IF(D16*$D$3&gt;0,D16*$D$3,0)</f>
        <v>0</v>
      </c>
      <c r="E17" s="305">
        <f t="shared" ca="1" si="13"/>
        <v>0</v>
      </c>
      <c r="F17" s="305">
        <f t="shared" ca="1" si="13"/>
        <v>0</v>
      </c>
      <c r="G17" s="305">
        <f t="shared" ca="1" si="13"/>
        <v>2364322.3764610952</v>
      </c>
      <c r="H17" s="305">
        <f t="shared" ca="1" si="13"/>
        <v>3286910.292449668</v>
      </c>
      <c r="I17" s="305">
        <f t="shared" ca="1" si="13"/>
        <v>3401213.2139652669</v>
      </c>
      <c r="J17" s="305">
        <f t="shared" ca="1" si="13"/>
        <v>3519032.0026371223</v>
      </c>
      <c r="K17" s="305">
        <f t="shared" ca="1" si="13"/>
        <v>3640477.2405369766</v>
      </c>
      <c r="L17" s="305">
        <f ca="1">IF(L16*$D$3&gt;0,L16*$D$3,0)</f>
        <v>3765663.0306017352</v>
      </c>
      <c r="M17" s="305">
        <f t="shared" ref="M17:P17" ca="1" si="14">IF(M16*$D$3&gt;0,M16*$D$3,0)</f>
        <v>3894707.1095375251</v>
      </c>
      <c r="N17" s="305">
        <f t="shared" ca="1" si="14"/>
        <v>4027730.9643609663</v>
      </c>
      <c r="O17" s="305">
        <f t="shared" ref="O17" ca="1" si="15">IF(O16*$D$3&gt;0,O16*$D$3,0)</f>
        <v>4164859.9526952058</v>
      </c>
      <c r="P17" s="305">
        <f t="shared" ref="P17" ca="1" si="16">IF(P16*$D$3&gt;0,P16*$D$3,0)</f>
        <v>4306223.4269420644</v>
      </c>
    </row>
    <row r="18" spans="1:16">
      <c r="A18" s="56"/>
      <c r="B18" s="56"/>
      <c r="C18" s="7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</row>
    <row r="19" spans="1:16">
      <c r="A19" s="56"/>
      <c r="B19" s="67" t="s">
        <v>93</v>
      </c>
      <c r="C19" s="75">
        <f>YEAR(Assumptions!D5)</f>
        <v>2024</v>
      </c>
      <c r="D19" s="75">
        <f t="shared" ref="D19:L19" si="17">C19+1</f>
        <v>2025</v>
      </c>
      <c r="E19" s="75">
        <f t="shared" si="17"/>
        <v>2026</v>
      </c>
      <c r="F19" s="75">
        <f t="shared" si="17"/>
        <v>2027</v>
      </c>
      <c r="G19" s="75">
        <f t="shared" si="17"/>
        <v>2028</v>
      </c>
      <c r="H19" s="75">
        <f t="shared" si="17"/>
        <v>2029</v>
      </c>
      <c r="I19" s="75">
        <f t="shared" si="17"/>
        <v>2030</v>
      </c>
      <c r="J19" s="75">
        <f t="shared" si="17"/>
        <v>2031</v>
      </c>
      <c r="K19" s="75">
        <f t="shared" si="17"/>
        <v>2032</v>
      </c>
      <c r="L19" s="75">
        <f t="shared" si="17"/>
        <v>2033</v>
      </c>
      <c r="M19" s="75">
        <f t="shared" ref="M19" si="18">L19+1</f>
        <v>2034</v>
      </c>
      <c r="N19" s="75">
        <f t="shared" ref="N19" si="19">M19+1</f>
        <v>2035</v>
      </c>
      <c r="O19" s="75">
        <f t="shared" ref="O19" si="20">N19+1</f>
        <v>2036</v>
      </c>
      <c r="P19" s="75">
        <f t="shared" ref="P19" si="21">O19+1</f>
        <v>2037</v>
      </c>
    </row>
    <row r="20" spans="1:16" ht="17.100000000000001" thickBot="1">
      <c r="A20" s="56"/>
      <c r="B20" s="56" t="s">
        <v>332</v>
      </c>
      <c r="C20" s="68">
        <f>INDEX($C$11:$P$11,1,MATCH(C19,$C$10:$P$10,0))</f>
        <v>2</v>
      </c>
      <c r="D20" s="68">
        <f t="shared" ref="D20:P20" si="22">INDEX($C$11:$P$11,1,MATCH(D19,$C$10:$P$10,0))</f>
        <v>3</v>
      </c>
      <c r="E20" s="68">
        <f t="shared" si="22"/>
        <v>4</v>
      </c>
      <c r="F20" s="68">
        <f t="shared" si="22"/>
        <v>5</v>
      </c>
      <c r="G20" s="68">
        <f t="shared" si="22"/>
        <v>6</v>
      </c>
      <c r="H20" s="68">
        <f t="shared" si="22"/>
        <v>7</v>
      </c>
      <c r="I20" s="68">
        <f t="shared" si="22"/>
        <v>8</v>
      </c>
      <c r="J20" s="68">
        <f t="shared" si="22"/>
        <v>9</v>
      </c>
      <c r="K20" s="68">
        <f t="shared" si="22"/>
        <v>10</v>
      </c>
      <c r="L20" s="68">
        <f t="shared" si="22"/>
        <v>11</v>
      </c>
      <c r="M20" s="68">
        <f t="shared" si="22"/>
        <v>12</v>
      </c>
      <c r="N20" s="68">
        <f t="shared" si="22"/>
        <v>13</v>
      </c>
      <c r="O20" s="68">
        <f>INDEX($C$11:$U$11,1,MATCH(O19,$C$10:$U$10,0))</f>
        <v>14</v>
      </c>
      <c r="P20" s="68">
        <f>INDEX($C$11:$U$11,1,MATCH(P19,$C$10:$U$10,0))</f>
        <v>15</v>
      </c>
    </row>
    <row r="21" spans="1:16">
      <c r="A21" s="56"/>
      <c r="B21" s="56" t="s">
        <v>333</v>
      </c>
      <c r="C21" s="69">
        <f>SUMIF(Land!$D$7:$D$27,TIF!$B19,Land!$P$7:$P$27)</f>
        <v>17964902</v>
      </c>
      <c r="D21" s="69">
        <f>SUMIF(Land!$D$7:$D$27,TIF!$B19,Land!$P$7:$P$27)</f>
        <v>17964902</v>
      </c>
      <c r="E21" s="69">
        <f>SUMIF(Land!$D$7:$D$27,TIF!$B19,Land!$P$7:$P$27)</f>
        <v>17964902</v>
      </c>
      <c r="F21" s="69">
        <f>SUMIF(Land!$D$7:$D$27,TIF!$B19,Land!$P$7:$P$27)</f>
        <v>17964902</v>
      </c>
      <c r="G21" s="69">
        <f>SUMIF(Land!$D$7:$D$27,TIF!$B19,Land!$P$7:$P$27)</f>
        <v>17964902</v>
      </c>
      <c r="H21" s="69">
        <f>SUMIF(Land!$D$7:$D$27,TIF!$B19,Land!$P$7:$P$27)</f>
        <v>17964902</v>
      </c>
      <c r="I21" s="69">
        <f>SUMIF(Land!$D$7:$D$27,TIF!$B19,Land!$P$7:$P$27)</f>
        <v>17964902</v>
      </c>
      <c r="J21" s="69">
        <f>SUMIF(Land!$D$7:$D$27,TIF!$B19,Land!$P$7:$P$27)</f>
        <v>17964902</v>
      </c>
      <c r="K21" s="69">
        <f>SUMIF(Land!$D$7:$D$27,TIF!$B19,Land!$P$7:$P$27)</f>
        <v>17964902</v>
      </c>
      <c r="L21" s="69">
        <f>SUMIF(Land!$D$7:$D$27,TIF!$B19,Land!$P$7:$P$27)</f>
        <v>17964902</v>
      </c>
      <c r="M21" s="69">
        <f>SUMIF(Land!$D$7:$D$27,TIF!$B19,Land!$P$7:$P$27)</f>
        <v>17964902</v>
      </c>
      <c r="N21" s="69">
        <f>SUMIF(Land!$D$7:$D$27,TIF!$B19,Land!$P$7:$P$27)</f>
        <v>17964902</v>
      </c>
      <c r="O21" s="69">
        <f>SUMIF(Land!$D$7:$D$27,TIF!$B19,Land!$P$7:$P$27)</f>
        <v>17964902</v>
      </c>
      <c r="P21" s="69">
        <f>SUMIF(Land!$D$7:$D$27,TIF!$B19,Land!$P$7:$P$27)</f>
        <v>17964902</v>
      </c>
    </row>
    <row r="22" spans="1:16">
      <c r="A22" s="56"/>
      <c r="B22" s="56" t="s">
        <v>334</v>
      </c>
      <c r="C22" s="70">
        <f t="shared" ref="C22:L22" si="23">C21*$D$4</f>
        <v>246855.71838199999</v>
      </c>
      <c r="D22" s="71">
        <f t="shared" si="23"/>
        <v>246855.71838199999</v>
      </c>
      <c r="E22" s="71">
        <f t="shared" si="23"/>
        <v>246855.71838199999</v>
      </c>
      <c r="F22" s="71">
        <f t="shared" si="23"/>
        <v>246855.71838199999</v>
      </c>
      <c r="G22" s="71">
        <f t="shared" si="23"/>
        <v>246855.71838199999</v>
      </c>
      <c r="H22" s="71">
        <f t="shared" si="23"/>
        <v>246855.71838199999</v>
      </c>
      <c r="I22" s="71">
        <f t="shared" si="23"/>
        <v>246855.71838199999</v>
      </c>
      <c r="J22" s="71">
        <f t="shared" si="23"/>
        <v>246855.71838199999</v>
      </c>
      <c r="K22" s="71">
        <f t="shared" si="23"/>
        <v>246855.71838199999</v>
      </c>
      <c r="L22" s="71">
        <f t="shared" si="23"/>
        <v>246855.71838199999</v>
      </c>
      <c r="M22" s="71">
        <f t="shared" ref="M22:P22" si="24">M21*$D$4</f>
        <v>246855.71838199999</v>
      </c>
      <c r="N22" s="71">
        <f t="shared" si="24"/>
        <v>246855.71838199999</v>
      </c>
      <c r="O22" s="71">
        <f t="shared" si="24"/>
        <v>246855.71838199999</v>
      </c>
      <c r="P22" s="71">
        <f t="shared" si="24"/>
        <v>246855.71838199999</v>
      </c>
    </row>
    <row r="23" spans="1:16">
      <c r="A23" s="56"/>
      <c r="B23" s="56" t="s">
        <v>335</v>
      </c>
      <c r="C23" s="72">
        <f ca="1">INDEX('Phase II Pro Forma'!$D$114:$N$114,1,MATCH(TIF!C19,'Phase II Pro Forma'!$D$69:$N$69,0))</f>
        <v>0</v>
      </c>
      <c r="D23" s="72">
        <f ca="1">INDEX('Phase II Pro Forma'!$D$114:$N$114,1,MATCH(TIF!D19,'Phase II Pro Forma'!$D$69:$N$69,0))</f>
        <v>0</v>
      </c>
      <c r="E23" s="72">
        <f ca="1">INDEX('Phase II Pro Forma'!$D$114:$N$114,1,MATCH(TIF!E19,'Phase II Pro Forma'!$D$69:$N$69,0))</f>
        <v>0</v>
      </c>
      <c r="F23" s="72">
        <f ca="1">INDEX('Phase II Pro Forma'!$D$114:$N$114,1,MATCH(TIF!F19,'Phase II Pro Forma'!$D$69:$N$69,0))</f>
        <v>0</v>
      </c>
      <c r="G23" s="72">
        <f ca="1">INDEX('Phase II Pro Forma'!$D$114:$N$114,1,MATCH(TIF!G19,'Phase II Pro Forma'!$D$69:$N$69,0))</f>
        <v>334708889.97828925</v>
      </c>
      <c r="H23" s="72">
        <f ca="1">INDEX('Phase II Pro Forma'!$D$114:$N$114,1,MATCH(TIF!H19,'Phase II Pro Forma'!$D$69:$N$69,0))</f>
        <v>505067334.5387181</v>
      </c>
      <c r="I23" s="72">
        <f ca="1">INDEX('Phase II Pro Forma'!$D$114:$N$114,1,MATCH(TIF!I19,'Phase II Pro Forma'!$D$69:$N$69,0))</f>
        <v>519640453.64143646</v>
      </c>
      <c r="J23" s="72">
        <f ca="1">INDEX('Phase II Pro Forma'!$D$114:$N$114,1,MATCH(TIF!J19,'Phase II Pro Forma'!$D$69:$N$69,0))</f>
        <v>534650307.94155371</v>
      </c>
      <c r="K23" s="72">
        <f ca="1">INDEX('Phase II Pro Forma'!$D$114:$N$114,1,MATCH(TIF!K19,'Phase II Pro Forma'!$D$69:$N$69,0))</f>
        <v>550110266.79063416</v>
      </c>
      <c r="L23" s="72">
        <f ca="1">INDEX('Phase II Pro Forma'!$D$114:$N$114,1,MATCH(TIF!L19,'Phase II Pro Forma'!$D$69:$N$69,0))</f>
        <v>566034113.76926601</v>
      </c>
      <c r="M23" s="72">
        <f ca="1">INDEX('Phase II Pro Forma'!$D$114:$N$114,1,MATCH(TIF!M19,'Phase II Pro Forma'!$D$69:$N$69,0))</f>
        <v>582436059.61579394</v>
      </c>
      <c r="N23" s="72">
        <f ca="1">INDEX('Phase II Pro Forma'!$D$114:$Z$114,1,MATCH(TIF!N19,'Phase II Pro Forma'!$D$69:$Z$69,0))</f>
        <v>599330755.56059694</v>
      </c>
      <c r="O23" s="72">
        <f ca="1">INDEX('Phase II Pro Forma'!$D$114:$Z$114,1,MATCH(TIF!O19,'Phase II Pro Forma'!$D$69:$Z$69,0))</f>
        <v>616733307.07867885</v>
      </c>
      <c r="P23" s="72">
        <f ca="1">INDEX('Phase II Pro Forma'!$D$114:$Z$114,1,MATCH(TIF!P19,'Phase II Pro Forma'!$D$69:$Z$69,0))</f>
        <v>634659288.07374859</v>
      </c>
    </row>
    <row r="24" spans="1:16">
      <c r="A24" s="56"/>
      <c r="B24" s="56" t="s">
        <v>336</v>
      </c>
      <c r="C24" s="70">
        <f t="shared" ref="C24:L24" ca="1" si="25">C23*$D$4</f>
        <v>0</v>
      </c>
      <c r="D24" s="71">
        <f t="shared" ca="1" si="25"/>
        <v>0</v>
      </c>
      <c r="E24" s="71">
        <f t="shared" ca="1" si="25"/>
        <v>0</v>
      </c>
      <c r="F24" s="71">
        <f t="shared" ca="1" si="25"/>
        <v>0</v>
      </c>
      <c r="G24" s="71">
        <f t="shared" ca="1" si="25"/>
        <v>4599234.8571916725</v>
      </c>
      <c r="H24" s="71">
        <f t="shared" ca="1" si="25"/>
        <v>6940130.2438965254</v>
      </c>
      <c r="I24" s="71">
        <f t="shared" ca="1" si="25"/>
        <v>7140379.4734869786</v>
      </c>
      <c r="J24" s="71">
        <f t="shared" ca="1" si="25"/>
        <v>7346629.881424889</v>
      </c>
      <c r="K24" s="71">
        <f t="shared" ca="1" si="25"/>
        <v>7559065.1759701036</v>
      </c>
      <c r="L24" s="71">
        <f t="shared" ca="1" si="25"/>
        <v>7777874.7573034838</v>
      </c>
      <c r="M24" s="71">
        <f t="shared" ref="M24:P24" ca="1" si="26">M23*$D$4</f>
        <v>8003253.895180624</v>
      </c>
      <c r="N24" s="71">
        <f t="shared" ca="1" si="26"/>
        <v>8235403.9121581623</v>
      </c>
      <c r="O24" s="71">
        <f t="shared" ca="1" si="26"/>
        <v>8474532.3725681268</v>
      </c>
      <c r="P24" s="71">
        <f t="shared" ca="1" si="26"/>
        <v>8720853.2774213795</v>
      </c>
    </row>
    <row r="25" spans="1:16">
      <c r="A25" s="56"/>
      <c r="B25" s="56" t="s">
        <v>329</v>
      </c>
      <c r="C25" s="73">
        <f ca="1">C24-C22</f>
        <v>-246855.71838199999</v>
      </c>
      <c r="D25" s="73">
        <f t="shared" ref="D25:L25" ca="1" si="27">D24-D22</f>
        <v>-246855.71838199999</v>
      </c>
      <c r="E25" s="73">
        <f t="shared" ca="1" si="27"/>
        <v>-246855.71838199999</v>
      </c>
      <c r="F25" s="73">
        <f t="shared" ca="1" si="27"/>
        <v>-246855.71838199999</v>
      </c>
      <c r="G25" s="73">
        <f t="shared" ca="1" si="27"/>
        <v>4352379.1388096726</v>
      </c>
      <c r="H25" s="73">
        <f t="shared" ca="1" si="27"/>
        <v>6693274.5255145254</v>
      </c>
      <c r="I25" s="73">
        <f t="shared" ca="1" si="27"/>
        <v>6893523.7551049786</v>
      </c>
      <c r="J25" s="73">
        <f t="shared" ca="1" si="27"/>
        <v>7099774.163042889</v>
      </c>
      <c r="K25" s="73">
        <f t="shared" ca="1" si="27"/>
        <v>7312209.4575881036</v>
      </c>
      <c r="L25" s="73">
        <f t="shared" ca="1" si="27"/>
        <v>7531019.0389214838</v>
      </c>
      <c r="M25" s="73">
        <f t="shared" ref="M25:P25" ca="1" si="28">M24-M22</f>
        <v>7756398.176798624</v>
      </c>
      <c r="N25" s="73">
        <f t="shared" ca="1" si="28"/>
        <v>7988548.1937761623</v>
      </c>
      <c r="O25" s="73">
        <f t="shared" ca="1" si="28"/>
        <v>8227676.6541861268</v>
      </c>
      <c r="P25" s="73">
        <f t="shared" ca="1" si="28"/>
        <v>8473997.5590393804</v>
      </c>
    </row>
    <row r="26" spans="1:16">
      <c r="A26" s="56"/>
      <c r="B26" s="56" t="s">
        <v>194</v>
      </c>
      <c r="C26" s="305">
        <f ca="1">IF(C25*$D$3&gt;0,C25*$D$3,0)</f>
        <v>0</v>
      </c>
      <c r="D26" s="305">
        <f t="shared" ref="D26:P26" ca="1" si="29">IF(D25*$D$3&gt;0,D25*$D$3,0)</f>
        <v>0</v>
      </c>
      <c r="E26" s="305">
        <f t="shared" ca="1" si="29"/>
        <v>0</v>
      </c>
      <c r="F26" s="305">
        <f t="shared" ca="1" si="29"/>
        <v>0</v>
      </c>
      <c r="G26" s="305">
        <f t="shared" ca="1" si="29"/>
        <v>3264284.3541072542</v>
      </c>
      <c r="H26" s="305">
        <f t="shared" ca="1" si="29"/>
        <v>5019955.8941358943</v>
      </c>
      <c r="I26" s="305">
        <f t="shared" ca="1" si="29"/>
        <v>5170142.8163287342</v>
      </c>
      <c r="J26" s="305">
        <f t="shared" ca="1" si="29"/>
        <v>5324830.622282167</v>
      </c>
      <c r="K26" s="305">
        <f t="shared" ca="1" si="29"/>
        <v>5484157.0931910779</v>
      </c>
      <c r="L26" s="305">
        <f t="shared" ca="1" si="29"/>
        <v>5648264.2791911131</v>
      </c>
      <c r="M26" s="305">
        <f t="shared" ca="1" si="29"/>
        <v>5817298.6325989682</v>
      </c>
      <c r="N26" s="305">
        <f t="shared" ca="1" si="29"/>
        <v>5991411.1453321222</v>
      </c>
      <c r="O26" s="305">
        <f t="shared" ca="1" si="29"/>
        <v>6170757.4906395953</v>
      </c>
      <c r="P26" s="305">
        <f t="shared" ca="1" si="29"/>
        <v>6355498.1692795353</v>
      </c>
    </row>
    <row r="27" spans="1:16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</row>
    <row r="28" spans="1:16">
      <c r="A28" s="56"/>
      <c r="B28" s="67" t="s">
        <v>94</v>
      </c>
      <c r="C28" s="75">
        <f>YEAR(Assumptions!D6)</f>
        <v>2026</v>
      </c>
      <c r="D28" s="75">
        <f t="shared" ref="D28:L28" si="30">C28+1</f>
        <v>2027</v>
      </c>
      <c r="E28" s="75">
        <f t="shared" si="30"/>
        <v>2028</v>
      </c>
      <c r="F28" s="75">
        <f t="shared" si="30"/>
        <v>2029</v>
      </c>
      <c r="G28" s="75">
        <f t="shared" si="30"/>
        <v>2030</v>
      </c>
      <c r="H28" s="75">
        <f t="shared" si="30"/>
        <v>2031</v>
      </c>
      <c r="I28" s="75">
        <f t="shared" si="30"/>
        <v>2032</v>
      </c>
      <c r="J28" s="75">
        <f t="shared" si="30"/>
        <v>2033</v>
      </c>
      <c r="K28" s="75">
        <f t="shared" si="30"/>
        <v>2034</v>
      </c>
      <c r="L28" s="75">
        <f t="shared" si="30"/>
        <v>2035</v>
      </c>
      <c r="M28" s="75">
        <f t="shared" ref="M28" si="31">L28+1</f>
        <v>2036</v>
      </c>
      <c r="N28" s="75">
        <f t="shared" ref="N28" si="32">M28+1</f>
        <v>2037</v>
      </c>
      <c r="O28" s="75">
        <f t="shared" ref="O28" si="33">N28+1</f>
        <v>2038</v>
      </c>
      <c r="P28" s="75">
        <f t="shared" ref="P28" si="34">O28+1</f>
        <v>2039</v>
      </c>
    </row>
    <row r="29" spans="1:16" ht="17.100000000000001" thickBot="1">
      <c r="A29" s="56"/>
      <c r="B29" s="56" t="s">
        <v>332</v>
      </c>
      <c r="C29" s="68">
        <f>INDEX($C$11:$U$11,1,MATCH(C28,$C$10:$U$10,0))</f>
        <v>4</v>
      </c>
      <c r="D29" s="68">
        <f t="shared" ref="D29:P29" si="35">INDEX($C$11:$U$11,1,MATCH(D28,$C$10:$U$10,0))</f>
        <v>5</v>
      </c>
      <c r="E29" s="68">
        <f t="shared" si="35"/>
        <v>6</v>
      </c>
      <c r="F29" s="68">
        <f t="shared" si="35"/>
        <v>7</v>
      </c>
      <c r="G29" s="68">
        <f t="shared" si="35"/>
        <v>8</v>
      </c>
      <c r="H29" s="68">
        <f t="shared" si="35"/>
        <v>9</v>
      </c>
      <c r="I29" s="68">
        <f t="shared" si="35"/>
        <v>10</v>
      </c>
      <c r="J29" s="68">
        <f t="shared" si="35"/>
        <v>11</v>
      </c>
      <c r="K29" s="68">
        <f t="shared" si="35"/>
        <v>12</v>
      </c>
      <c r="L29" s="68">
        <f t="shared" si="35"/>
        <v>13</v>
      </c>
      <c r="M29" s="68">
        <f t="shared" si="35"/>
        <v>14</v>
      </c>
      <c r="N29" s="68">
        <f t="shared" si="35"/>
        <v>15</v>
      </c>
      <c r="O29" s="68">
        <f t="shared" si="35"/>
        <v>16</v>
      </c>
      <c r="P29" s="68">
        <f t="shared" si="35"/>
        <v>17</v>
      </c>
    </row>
    <row r="30" spans="1:16">
      <c r="A30" s="56"/>
      <c r="B30" s="56" t="s">
        <v>333</v>
      </c>
      <c r="C30" s="69">
        <f>SUMIF(Land!$D$7:$D$27,TIF!$B28,Land!$P$7:$P$27)</f>
        <v>25430473</v>
      </c>
      <c r="D30" s="69">
        <f>SUMIF(Land!$D$7:$D$27,TIF!$B28,Land!$P$7:$P$27)</f>
        <v>25430473</v>
      </c>
      <c r="E30" s="69">
        <f>SUMIF(Land!$D$7:$D$27,TIF!$B28,Land!$P$7:$P$27)</f>
        <v>25430473</v>
      </c>
      <c r="F30" s="69">
        <f>SUMIF(Land!$D$7:$D$27,TIF!$B28,Land!$P$7:$P$27)</f>
        <v>25430473</v>
      </c>
      <c r="G30" s="69">
        <f>SUMIF(Land!$D$7:$D$27,TIF!$B28,Land!$P$7:$P$27)</f>
        <v>25430473</v>
      </c>
      <c r="H30" s="69">
        <f>SUMIF(Land!$D$7:$D$27,TIF!$B28,Land!$P$7:$P$27)</f>
        <v>25430473</v>
      </c>
      <c r="I30" s="69">
        <f>SUMIF(Land!$D$7:$D$27,TIF!$B28,Land!$P$7:$P$27)</f>
        <v>25430473</v>
      </c>
      <c r="J30" s="69">
        <f>SUMIF(Land!$D$7:$D$27,TIF!$B28,Land!$P$7:$P$27)</f>
        <v>25430473</v>
      </c>
      <c r="K30" s="69">
        <f>SUMIF(Land!$D$7:$D$27,TIF!$B28,Land!$P$7:$P$27)</f>
        <v>25430473</v>
      </c>
      <c r="L30" s="69">
        <f>SUMIF(Land!$D$7:$D$27,TIF!$B28,Land!$P$7:$P$27)</f>
        <v>25430473</v>
      </c>
      <c r="M30" s="69">
        <f>SUMIF(Land!$D$7:$D$27,TIF!$B28,Land!$P$7:$P$27)</f>
        <v>25430473</v>
      </c>
      <c r="N30" s="69">
        <f>SUMIF(Land!$D$7:$D$27,TIF!$B28,Land!$P$7:$P$27)</f>
        <v>25430473</v>
      </c>
      <c r="O30" s="69">
        <f>SUMIF(Land!$D$7:$D$27,TIF!$B28,Land!$P$7:$P$27)</f>
        <v>25430473</v>
      </c>
      <c r="P30" s="69">
        <f>SUMIF(Land!$D$7:$D$27,TIF!$B28,Land!$P$7:$P$27)</f>
        <v>25430473</v>
      </c>
    </row>
    <row r="31" spans="1:16">
      <c r="A31" s="56"/>
      <c r="B31" s="56" t="s">
        <v>334</v>
      </c>
      <c r="C31" s="70">
        <f t="shared" ref="C31:L31" si="36">C30*$D$4</f>
        <v>349440.12949299999</v>
      </c>
      <c r="D31" s="71">
        <f t="shared" si="36"/>
        <v>349440.12949299999</v>
      </c>
      <c r="E31" s="71">
        <f t="shared" si="36"/>
        <v>349440.12949299999</v>
      </c>
      <c r="F31" s="71">
        <f t="shared" si="36"/>
        <v>349440.12949299999</v>
      </c>
      <c r="G31" s="71">
        <f t="shared" si="36"/>
        <v>349440.12949299999</v>
      </c>
      <c r="H31" s="71">
        <f t="shared" si="36"/>
        <v>349440.12949299999</v>
      </c>
      <c r="I31" s="71">
        <f t="shared" si="36"/>
        <v>349440.12949299999</v>
      </c>
      <c r="J31" s="71">
        <f t="shared" si="36"/>
        <v>349440.12949299999</v>
      </c>
      <c r="K31" s="71">
        <f t="shared" si="36"/>
        <v>349440.12949299999</v>
      </c>
      <c r="L31" s="71">
        <f t="shared" si="36"/>
        <v>349440.12949299999</v>
      </c>
      <c r="M31" s="71">
        <f t="shared" ref="M31:P31" si="37">M30*$D$4</f>
        <v>349440.12949299999</v>
      </c>
      <c r="N31" s="71">
        <f t="shared" si="37"/>
        <v>349440.12949299999</v>
      </c>
      <c r="O31" s="71">
        <f t="shared" si="37"/>
        <v>349440.12949299999</v>
      </c>
      <c r="P31" s="71">
        <f t="shared" si="37"/>
        <v>349440.12949299999</v>
      </c>
    </row>
    <row r="32" spans="1:16">
      <c r="A32" s="56"/>
      <c r="B32" s="56" t="s">
        <v>335</v>
      </c>
      <c r="C32" s="72">
        <f ca="1">INDEX('Phase III Pro Forma'!$D$114:$N$114,1,MATCH(TIF!C28,'Phase III Pro Forma'!$D$69:$N$69,0))</f>
        <v>0</v>
      </c>
      <c r="D32" s="72">
        <f ca="1">INDEX('Phase III Pro Forma'!$D$114:$N$114,1,MATCH(TIF!D28,'Phase III Pro Forma'!$D$69:$N$69,0))</f>
        <v>0</v>
      </c>
      <c r="E32" s="72">
        <f ca="1">INDEX('Phase III Pro Forma'!$D$114:$N$114,1,MATCH(TIF!E28,'Phase III Pro Forma'!$D$69:$N$69,0))</f>
        <v>0</v>
      </c>
      <c r="F32" s="72">
        <f ca="1">INDEX('Phase III Pro Forma'!$D$114:$N$114,1,MATCH(TIF!F28,'Phase III Pro Forma'!$D$69:$N$69,0))</f>
        <v>0</v>
      </c>
      <c r="G32" s="72">
        <f ca="1">INDEX('Phase III Pro Forma'!$D$114:$N$114,1,MATCH(TIF!G28,'Phase III Pro Forma'!$D$69:$N$69,0))</f>
        <v>324636100.47520727</v>
      </c>
      <c r="H32" s="72">
        <f ca="1">INDEX('Phase III Pro Forma'!$D$114:$N$114,1,MATCH(TIF!H28,'Phase III Pro Forma'!$D$69:$N$69,0))</f>
        <v>334012753.41854954</v>
      </c>
      <c r="I32" s="72">
        <f ca="1">INDEX('Phase III Pro Forma'!$D$114:$N$114,1,MATCH(TIF!I28,'Phase III Pro Forma'!$D$69:$N$69,0))</f>
        <v>343670573.50679797</v>
      </c>
      <c r="J32" s="72">
        <f ca="1">INDEX('Phase III Pro Forma'!$D$114:$N$114,1,MATCH(TIF!J28,'Phase III Pro Forma'!$D$69:$N$69,0))</f>
        <v>353618170.56790447</v>
      </c>
      <c r="K32" s="72">
        <f ca="1">INDEX('Phase III Pro Forma'!$D$114:$N$114,1,MATCH(TIF!K28,'Phase III Pro Forma'!$D$69:$N$69,0))</f>
        <v>363864421.24020547</v>
      </c>
      <c r="L32" s="72">
        <f ca="1">INDEX('Phase III Pro Forma'!$D$114:$N$114,1,MATCH(TIF!L28,'Phase III Pro Forma'!$D$69:$N$69,0))</f>
        <v>374418477.30091131</v>
      </c>
      <c r="M32" s="72">
        <f ca="1">INDEX('Phase III Pro Forma'!$D$114:$N$114,1,MATCH(TIF!M28,'Phase III Pro Forma'!$D$69:$N$69,0))</f>
        <v>385289774.25586116</v>
      </c>
      <c r="N32" s="72">
        <f ca="1">INDEX('Phase III Pro Forma'!$D$114:$Z$114,1,MATCH(TIF!N28,'Phase III Pro Forma'!$D$69:$Z$69,0))</f>
        <v>396488040.198771</v>
      </c>
      <c r="O32" s="72">
        <f ca="1">INDEX('Phase III Pro Forma'!$D$114:$Z$114,1,MATCH(TIF!O28,'Phase III Pro Forma'!$D$69:$Z$69,0))</f>
        <v>408023304.94846189</v>
      </c>
      <c r="P32" s="72">
        <f ca="1">INDEX('Phase III Pro Forma'!$D$114:$Z$114,1,MATCH(TIF!P28,'Phase III Pro Forma'!$D$69:$Z$69,0))</f>
        <v>419905909.47282338</v>
      </c>
    </row>
    <row r="33" spans="1:16">
      <c r="A33" s="56"/>
      <c r="B33" s="56" t="s">
        <v>336</v>
      </c>
      <c r="C33" s="70">
        <f t="shared" ref="C33:L33" ca="1" si="38">C32*$D$4</f>
        <v>0</v>
      </c>
      <c r="D33" s="71">
        <f t="shared" ca="1" si="38"/>
        <v>0</v>
      </c>
      <c r="E33" s="71">
        <f t="shared" ca="1" si="38"/>
        <v>0</v>
      </c>
      <c r="F33" s="71">
        <f t="shared" ca="1" si="38"/>
        <v>0</v>
      </c>
      <c r="G33" s="71">
        <f t="shared" ca="1" si="38"/>
        <v>4460824.6566298231</v>
      </c>
      <c r="H33" s="71">
        <f t="shared" ca="1" si="38"/>
        <v>4589669.2447242895</v>
      </c>
      <c r="I33" s="71">
        <f t="shared" ca="1" si="38"/>
        <v>4722377.350556911</v>
      </c>
      <c r="J33" s="71">
        <f t="shared" ca="1" si="38"/>
        <v>4859067.2817735756</v>
      </c>
      <c r="K33" s="71">
        <f t="shared" ca="1" si="38"/>
        <v>4999861.0122616636</v>
      </c>
      <c r="L33" s="71">
        <f t="shared" ca="1" si="38"/>
        <v>5144884.2965918221</v>
      </c>
      <c r="M33" s="71">
        <f t="shared" ref="M33:P33" ca="1" si="39">M32*$D$4</f>
        <v>5294266.7880497882</v>
      </c>
      <c r="N33" s="71">
        <f t="shared" ca="1" si="39"/>
        <v>5448142.1603713119</v>
      </c>
      <c r="O33" s="71">
        <f t="shared" ca="1" si="39"/>
        <v>5606648.2332968144</v>
      </c>
      <c r="P33" s="71">
        <f t="shared" ca="1" si="39"/>
        <v>5769927.1020660661</v>
      </c>
    </row>
    <row r="34" spans="1:16">
      <c r="A34" s="56"/>
      <c r="B34" s="56" t="s">
        <v>329</v>
      </c>
      <c r="C34" s="73">
        <f ca="1">C33-C31</f>
        <v>-349440.12949299999</v>
      </c>
      <c r="D34" s="73">
        <f t="shared" ref="D34:L34" ca="1" si="40">D33-D31</f>
        <v>-349440.12949299999</v>
      </c>
      <c r="E34" s="73">
        <f t="shared" ca="1" si="40"/>
        <v>-349440.12949299999</v>
      </c>
      <c r="F34" s="73">
        <f t="shared" ca="1" si="40"/>
        <v>-349440.12949299999</v>
      </c>
      <c r="G34" s="73">
        <f t="shared" ca="1" si="40"/>
        <v>4111384.5271368232</v>
      </c>
      <c r="H34" s="73">
        <f t="shared" ca="1" si="40"/>
        <v>4240229.1152312895</v>
      </c>
      <c r="I34" s="73">
        <f t="shared" ca="1" si="40"/>
        <v>4372937.221063911</v>
      </c>
      <c r="J34" s="73">
        <f t="shared" ca="1" si="40"/>
        <v>4509627.1522805756</v>
      </c>
      <c r="K34" s="73">
        <f t="shared" ca="1" si="40"/>
        <v>4650420.8827686636</v>
      </c>
      <c r="L34" s="73">
        <f t="shared" ca="1" si="40"/>
        <v>4795444.1670988221</v>
      </c>
      <c r="M34" s="73">
        <f t="shared" ref="M34:P34" ca="1" si="41">M33-M31</f>
        <v>4944826.6585567882</v>
      </c>
      <c r="N34" s="73">
        <f t="shared" ca="1" si="41"/>
        <v>5098702.030878312</v>
      </c>
      <c r="O34" s="73">
        <f t="shared" ca="1" si="41"/>
        <v>5257208.1038038144</v>
      </c>
      <c r="P34" s="73">
        <f t="shared" ca="1" si="41"/>
        <v>5420486.9725730661</v>
      </c>
    </row>
    <row r="35" spans="1:16">
      <c r="A35" s="56"/>
      <c r="B35" s="56" t="s">
        <v>194</v>
      </c>
      <c r="C35" s="305">
        <f ca="1">IF(C34*$D$3&gt;0,C34*$D$3,0)</f>
        <v>0</v>
      </c>
      <c r="D35" s="305">
        <f t="shared" ref="D35:P35" ca="1" si="42">IF(D34*$D$3&gt;0,D34*$D$3,0)</f>
        <v>0</v>
      </c>
      <c r="E35" s="305">
        <f t="shared" ca="1" si="42"/>
        <v>0</v>
      </c>
      <c r="F35" s="305">
        <f t="shared" ca="1" si="42"/>
        <v>0</v>
      </c>
      <c r="G35" s="305">
        <f t="shared" ca="1" si="42"/>
        <v>3083538.3953526174</v>
      </c>
      <c r="H35" s="305">
        <f t="shared" ca="1" si="42"/>
        <v>3180171.8364234669</v>
      </c>
      <c r="I35" s="305">
        <f t="shared" ca="1" si="42"/>
        <v>3279702.915797933</v>
      </c>
      <c r="J35" s="305">
        <f t="shared" ca="1" si="42"/>
        <v>3382220.3642104315</v>
      </c>
      <c r="K35" s="305">
        <f t="shared" ca="1" si="42"/>
        <v>3487815.6620764975</v>
      </c>
      <c r="L35" s="305">
        <f t="shared" ca="1" si="42"/>
        <v>3596583.1253241166</v>
      </c>
      <c r="M35" s="305">
        <f t="shared" ca="1" si="42"/>
        <v>3708619.9939175909</v>
      </c>
      <c r="N35" s="305">
        <f t="shared" ca="1" si="42"/>
        <v>3824026.5231587337</v>
      </c>
      <c r="O35" s="305">
        <f t="shared" ca="1" si="42"/>
        <v>3942906.077852861</v>
      </c>
      <c r="P35" s="305">
        <f t="shared" ca="1" si="42"/>
        <v>4065365.2294297996</v>
      </c>
    </row>
  </sheetData>
  <pageMargins left="0.7" right="0.7" top="0.75" bottom="0.75" header="0.3" footer="0.3"/>
  <pageSetup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D7756-F607-EE4A-98E5-4033993A35C1}">
  <sheetPr>
    <tabColor rgb="FF00B0F0"/>
  </sheetPr>
  <dimension ref="A1:Q57"/>
  <sheetViews>
    <sheetView workbookViewId="0">
      <selection activeCell="P7" sqref="P7:P8"/>
    </sheetView>
  </sheetViews>
  <sheetFormatPr defaultColWidth="10.875" defaultRowHeight="15.95"/>
  <cols>
    <col min="1" max="1" width="10.875" style="1"/>
    <col min="2" max="2" width="14.875" style="1" bestFit="1" customWidth="1"/>
    <col min="3" max="3" width="10.875" style="1"/>
    <col min="4" max="4" width="14.875" style="1" bestFit="1" customWidth="1"/>
    <col min="5" max="5" width="27.375" style="1" bestFit="1" customWidth="1"/>
    <col min="6" max="6" width="13.625" style="1" bestFit="1" customWidth="1"/>
    <col min="7" max="8" width="13.625" style="1" customWidth="1"/>
    <col min="9" max="9" width="10.5" style="1" bestFit="1" customWidth="1"/>
    <col min="10" max="10" width="12.375" style="1" bestFit="1" customWidth="1"/>
    <col min="11" max="11" width="10.875" style="1"/>
    <col min="12" max="12" width="15" style="1" bestFit="1" customWidth="1"/>
    <col min="13" max="13" width="12.625" style="1" customWidth="1"/>
    <col min="14" max="14" width="13.625" style="1" bestFit="1" customWidth="1"/>
    <col min="15" max="15" width="12.875" style="1" bestFit="1" customWidth="1"/>
    <col min="16" max="16" width="14.625" style="1" bestFit="1" customWidth="1"/>
    <col min="17" max="16384" width="10.875" style="1"/>
  </cols>
  <sheetData>
    <row r="1" spans="1:17">
      <c r="A1" s="76" t="s">
        <v>206</v>
      </c>
    </row>
    <row r="2" spans="1:17">
      <c r="B2" s="1" t="s">
        <v>337</v>
      </c>
      <c r="C2" s="170">
        <v>1.3741E-2</v>
      </c>
    </row>
    <row r="3" spans="1:17">
      <c r="B3" s="1" t="s">
        <v>338</v>
      </c>
      <c r="C3" s="171">
        <v>300</v>
      </c>
    </row>
    <row r="4" spans="1:17">
      <c r="B4" s="1" t="s">
        <v>339</v>
      </c>
      <c r="C4" s="171">
        <v>5</v>
      </c>
    </row>
    <row r="5" spans="1:17">
      <c r="B5" s="1" t="s">
        <v>340</v>
      </c>
      <c r="C5" s="277">
        <v>1</v>
      </c>
      <c r="P5" s="144"/>
    </row>
    <row r="6" spans="1:17">
      <c r="D6" s="76" t="s">
        <v>341</v>
      </c>
      <c r="E6" s="76" t="s">
        <v>342</v>
      </c>
      <c r="F6" s="76" t="s">
        <v>343</v>
      </c>
      <c r="G6" s="76" t="s">
        <v>344</v>
      </c>
      <c r="H6" s="76" t="s">
        <v>345</v>
      </c>
      <c r="I6" s="76" t="s">
        <v>346</v>
      </c>
      <c r="J6" s="76" t="s">
        <v>347</v>
      </c>
      <c r="K6" s="76" t="s">
        <v>348</v>
      </c>
      <c r="L6" s="76" t="s">
        <v>349</v>
      </c>
      <c r="M6" s="55" t="s">
        <v>208</v>
      </c>
      <c r="N6" s="55" t="s">
        <v>328</v>
      </c>
      <c r="O6" s="55" t="s">
        <v>350</v>
      </c>
      <c r="P6" s="55" t="s">
        <v>351</v>
      </c>
      <c r="Q6" s="55" t="s">
        <v>352</v>
      </c>
    </row>
    <row r="7" spans="1:17">
      <c r="D7" s="49" t="s">
        <v>91</v>
      </c>
      <c r="E7" s="1" t="s">
        <v>353</v>
      </c>
      <c r="F7" s="1" t="s">
        <v>354</v>
      </c>
      <c r="G7" s="1" t="s">
        <v>355</v>
      </c>
      <c r="H7" s="1" t="s">
        <v>67</v>
      </c>
      <c r="I7" s="83">
        <v>68050</v>
      </c>
      <c r="J7" s="83">
        <v>272550</v>
      </c>
      <c r="K7" s="1" t="s">
        <v>356</v>
      </c>
      <c r="L7" s="147" t="s">
        <v>357</v>
      </c>
      <c r="M7" s="147" t="str">
        <f>IFERROR(L7/I7,"N/A")</f>
        <v>N/A</v>
      </c>
      <c r="N7" s="147" t="str">
        <f>IFERROR(L7*$C$2,"N/A")</f>
        <v>N/A</v>
      </c>
      <c r="O7" s="77">
        <f>INDEX(Assumptions!$C$4:$H$6,MATCH(Land!D7,Assumptions!$C$4:$C$6,0),2)</f>
        <v>44926</v>
      </c>
      <c r="P7" s="147">
        <f>IF(AND(H7="Public",Q7="Museum"),$C$5,IF(AND(H7="Public",Q7="Mixed Use"),I7*$C$3,IF(H7="Private",L7)))</f>
        <v>20415000</v>
      </c>
      <c r="Q7" s="23" t="str">
        <f>INDEX($K$50:$O$57,MATCH($G7,$K$50:$K$57,0),MATCH($Q$6,$K$50:$O$50,0))</f>
        <v>Mixed Use</v>
      </c>
    </row>
    <row r="8" spans="1:17">
      <c r="D8" s="49" t="s">
        <v>91</v>
      </c>
      <c r="E8" t="s">
        <v>358</v>
      </c>
      <c r="F8" s="1" t="s">
        <v>359</v>
      </c>
      <c r="G8" s="1" t="s">
        <v>360</v>
      </c>
      <c r="H8" s="1" t="s">
        <v>67</v>
      </c>
      <c r="I8" s="83">
        <v>68050</v>
      </c>
      <c r="J8" s="83">
        <v>183856</v>
      </c>
      <c r="K8" s="1" t="s">
        <v>356</v>
      </c>
      <c r="L8" s="147" t="s">
        <v>357</v>
      </c>
      <c r="M8" s="147" t="str">
        <f t="shared" ref="M8:M27" si="0">IFERROR(L8/I8,"N/A")</f>
        <v>N/A</v>
      </c>
      <c r="N8" s="147" t="str">
        <f>IFERROR(L8*$C$2,"N/A")</f>
        <v>N/A</v>
      </c>
      <c r="O8" s="77">
        <f>INDEX(Assumptions!$C$4:$H$6,MATCH(Land!D8,Assumptions!$C$4:$C$6,0),2)</f>
        <v>44926</v>
      </c>
      <c r="P8" s="147">
        <f t="shared" ref="P8:P25" si="1">IF(AND(H8="Public",Q8="Museum"),$C$5,IF(AND(H8="Public",Q8="Mixed Use"),I8*$C$3,IF(H8="Private",L8)))</f>
        <v>20415000</v>
      </c>
      <c r="Q8" s="23" t="str">
        <f t="shared" ref="Q8:Q27" si="2">INDEX($K$50:$O$57,MATCH($G8,$K$50:$K$57,0),MATCH($Q$6,$K$50:$O$50,0))</f>
        <v>Mixed Use</v>
      </c>
    </row>
    <row r="9" spans="1:17">
      <c r="D9" s="49" t="s">
        <v>91</v>
      </c>
      <c r="E9" s="1" t="s">
        <v>361</v>
      </c>
      <c r="F9" s="1" t="s">
        <v>362</v>
      </c>
      <c r="G9" s="1" t="s">
        <v>300</v>
      </c>
      <c r="H9" s="1" t="s">
        <v>69</v>
      </c>
      <c r="I9" s="82">
        <v>7050</v>
      </c>
      <c r="J9" s="82">
        <v>0</v>
      </c>
      <c r="K9" s="1" t="s">
        <v>363</v>
      </c>
      <c r="L9" s="147">
        <v>316602</v>
      </c>
      <c r="M9" s="147">
        <f t="shared" si="0"/>
        <v>44.908085106382977</v>
      </c>
      <c r="N9" s="147">
        <f>IFERROR(L9*$C$2,"N/A")</f>
        <v>4350.4280820000004</v>
      </c>
      <c r="O9" s="77">
        <f>INDEX(Assumptions!$C$4:$H$6,MATCH(Land!D9,Assumptions!$C$4:$C$6,0),2)</f>
        <v>44926</v>
      </c>
      <c r="P9" s="147">
        <f t="shared" si="1"/>
        <v>316602</v>
      </c>
      <c r="Q9" s="23" t="str">
        <f t="shared" si="2"/>
        <v>Mixed Use</v>
      </c>
    </row>
    <row r="10" spans="1:17">
      <c r="D10" s="49" t="s">
        <v>91</v>
      </c>
      <c r="E10" s="1" t="s">
        <v>364</v>
      </c>
      <c r="F10" s="1" t="s">
        <v>365</v>
      </c>
      <c r="G10" s="1" t="s">
        <v>300</v>
      </c>
      <c r="H10" s="1" t="s">
        <v>69</v>
      </c>
      <c r="I10" s="82">
        <v>4583</v>
      </c>
      <c r="J10" s="82">
        <v>0</v>
      </c>
      <c r="K10" s="1" t="s">
        <v>363</v>
      </c>
      <c r="L10" s="147">
        <v>228590</v>
      </c>
      <c r="M10" s="147">
        <f t="shared" si="0"/>
        <v>49.877809295221468</v>
      </c>
      <c r="N10" s="147">
        <f>IFERROR(L10*$C$2,"N/A")</f>
        <v>3141.05519</v>
      </c>
      <c r="O10" s="77">
        <f>INDEX(Assumptions!$C$4:$H$6,MATCH(Land!D10,Assumptions!$C$4:$C$6,0),2)</f>
        <v>44926</v>
      </c>
      <c r="P10" s="147">
        <f t="shared" si="1"/>
        <v>228590</v>
      </c>
      <c r="Q10" s="23" t="str">
        <f t="shared" si="2"/>
        <v>Mixed Use</v>
      </c>
    </row>
    <row r="11" spans="1:17">
      <c r="D11" s="49" t="s">
        <v>91</v>
      </c>
      <c r="E11" s="1" t="s">
        <v>366</v>
      </c>
      <c r="F11" s="1" t="s">
        <v>367</v>
      </c>
      <c r="G11" s="1" t="s">
        <v>300</v>
      </c>
      <c r="H11" s="1" t="s">
        <v>67</v>
      </c>
      <c r="I11" s="82">
        <v>48547</v>
      </c>
      <c r="J11" s="82">
        <v>0</v>
      </c>
      <c r="K11" s="1" t="s">
        <v>363</v>
      </c>
      <c r="L11" s="147" t="s">
        <v>357</v>
      </c>
      <c r="M11" s="147" t="str">
        <f t="shared" si="0"/>
        <v>N/A</v>
      </c>
      <c r="N11" s="147" t="str">
        <f>IFERROR(L11*$C$2,"N/A")</f>
        <v>N/A</v>
      </c>
      <c r="O11" s="77">
        <f>INDEX(Assumptions!$C$4:$H$6,MATCH(Land!D11,Assumptions!$C$4:$C$6,0),2)</f>
        <v>44926</v>
      </c>
      <c r="P11" s="147">
        <f t="shared" si="1"/>
        <v>14564100</v>
      </c>
      <c r="Q11" s="23" t="str">
        <f t="shared" si="2"/>
        <v>Mixed Use</v>
      </c>
    </row>
    <row r="12" spans="1:17">
      <c r="D12" s="49" t="s">
        <v>93</v>
      </c>
      <c r="E12" s="1" t="s">
        <v>368</v>
      </c>
      <c r="F12" s="1" t="s">
        <v>369</v>
      </c>
      <c r="G12" s="1" t="s">
        <v>370</v>
      </c>
      <c r="H12" s="1" t="s">
        <v>67</v>
      </c>
      <c r="I12" s="82">
        <v>59883</v>
      </c>
      <c r="J12" s="82">
        <v>0</v>
      </c>
      <c r="K12" s="1" t="s">
        <v>356</v>
      </c>
      <c r="L12" s="147" t="s">
        <v>357</v>
      </c>
      <c r="M12" s="147" t="str">
        <f t="shared" si="0"/>
        <v>N/A</v>
      </c>
      <c r="N12" s="147" t="str">
        <f>IFERROR(L12*$C$2,"N/A")</f>
        <v>N/A</v>
      </c>
      <c r="O12" s="77">
        <f>INDEX(Assumptions!$C$4:$H$6,MATCH(Land!D12,Assumptions!$C$4:$C$6,0),2)</f>
        <v>45657</v>
      </c>
      <c r="P12" s="147">
        <f t="shared" si="1"/>
        <v>17964900</v>
      </c>
      <c r="Q12" s="23" t="str">
        <f t="shared" si="2"/>
        <v>Mixed Use</v>
      </c>
    </row>
    <row r="13" spans="1:17">
      <c r="D13" s="49" t="s">
        <v>93</v>
      </c>
      <c r="E13" s="1" t="s">
        <v>371</v>
      </c>
      <c r="F13" s="1" t="s">
        <v>372</v>
      </c>
      <c r="G13" s="1" t="s">
        <v>292</v>
      </c>
      <c r="H13" s="1" t="s">
        <v>67</v>
      </c>
      <c r="I13" s="82">
        <v>34853</v>
      </c>
      <c r="J13" s="82">
        <v>0</v>
      </c>
      <c r="K13" s="1" t="s">
        <v>373</v>
      </c>
      <c r="L13" s="147" t="s">
        <v>357</v>
      </c>
      <c r="M13" s="147" t="str">
        <f t="shared" si="0"/>
        <v>N/A</v>
      </c>
      <c r="N13" s="147" t="str">
        <f>IFERROR(L13*$C$2,"N/A")</f>
        <v>N/A</v>
      </c>
      <c r="O13" s="77">
        <f>INDEX(Assumptions!$C$4:$H$6,MATCH(Land!D13,Assumptions!$C$4:$C$6,0),2)</f>
        <v>45657</v>
      </c>
      <c r="P13" s="147">
        <f t="shared" si="1"/>
        <v>1</v>
      </c>
      <c r="Q13" s="23" t="str">
        <f t="shared" si="2"/>
        <v>Museum</v>
      </c>
    </row>
    <row r="14" spans="1:17">
      <c r="D14" s="49" t="s">
        <v>93</v>
      </c>
      <c r="E14" s="1" t="s">
        <v>374</v>
      </c>
      <c r="F14" s="1" t="s">
        <v>375</v>
      </c>
      <c r="G14" s="1" t="s">
        <v>292</v>
      </c>
      <c r="H14" s="1" t="s">
        <v>67</v>
      </c>
      <c r="I14" s="82">
        <v>25099</v>
      </c>
      <c r="J14" s="82">
        <v>0</v>
      </c>
      <c r="K14" s="1" t="s">
        <v>373</v>
      </c>
      <c r="L14" s="147" t="s">
        <v>357</v>
      </c>
      <c r="M14" s="147" t="str">
        <f t="shared" si="0"/>
        <v>N/A</v>
      </c>
      <c r="N14" s="147" t="str">
        <f>IFERROR(L14*$C$2,"N/A")</f>
        <v>N/A</v>
      </c>
      <c r="O14" s="77">
        <f>INDEX(Assumptions!$C$4:$H$6,MATCH(Land!D14,Assumptions!$C$4:$C$6,0),2)</f>
        <v>45657</v>
      </c>
      <c r="P14" s="147">
        <f t="shared" si="1"/>
        <v>1</v>
      </c>
      <c r="Q14" s="23" t="str">
        <f t="shared" si="2"/>
        <v>Museum</v>
      </c>
    </row>
    <row r="15" spans="1:17">
      <c r="D15" s="49" t="s">
        <v>94</v>
      </c>
      <c r="E15" s="1" t="s">
        <v>376</v>
      </c>
      <c r="F15" s="1" t="s">
        <v>377</v>
      </c>
      <c r="G15" s="1" t="s">
        <v>378</v>
      </c>
      <c r="H15" s="1" t="s">
        <v>69</v>
      </c>
      <c r="I15" s="82">
        <v>14800</v>
      </c>
      <c r="J15" s="82">
        <v>1296</v>
      </c>
      <c r="K15" s="1" t="s">
        <v>363</v>
      </c>
      <c r="L15" s="147">
        <v>361141</v>
      </c>
      <c r="M15" s="147">
        <f t="shared" si="0"/>
        <v>24.401418918918917</v>
      </c>
      <c r="N15" s="147">
        <f>IFERROR(L15*$C$2,"N/A")</f>
        <v>4962.4384810000001</v>
      </c>
      <c r="O15" s="77">
        <f>INDEX(Assumptions!$C$4:$H$6,MATCH(Land!D15,Assumptions!$C$4:$C$6,0),2)</f>
        <v>46387</v>
      </c>
      <c r="P15" s="147">
        <f t="shared" si="1"/>
        <v>361141</v>
      </c>
      <c r="Q15" s="23" t="str">
        <f t="shared" si="2"/>
        <v>Mixed Use</v>
      </c>
    </row>
    <row r="16" spans="1:17">
      <c r="D16" s="49" t="s">
        <v>94</v>
      </c>
      <c r="E16" s="1" t="s">
        <v>379</v>
      </c>
      <c r="F16" s="1" t="s">
        <v>380</v>
      </c>
      <c r="G16" s="1" t="s">
        <v>378</v>
      </c>
      <c r="H16" s="1" t="s">
        <v>69</v>
      </c>
      <c r="I16" s="82">
        <v>15000</v>
      </c>
      <c r="J16" s="82">
        <v>10376</v>
      </c>
      <c r="K16" s="1" t="s">
        <v>363</v>
      </c>
      <c r="L16" s="168">
        <v>424515</v>
      </c>
      <c r="M16" s="147">
        <f t="shared" si="0"/>
        <v>28.300999999999998</v>
      </c>
      <c r="N16" s="147">
        <f>IFERROR(L16*$C$2,"N/A")</f>
        <v>5833.2606150000001</v>
      </c>
      <c r="O16" s="77">
        <f>INDEX(Assumptions!$C$4:$H$6,MATCH(Land!D16,Assumptions!$C$4:$C$6,0),2)</f>
        <v>46387</v>
      </c>
      <c r="P16" s="147">
        <f t="shared" si="1"/>
        <v>424515</v>
      </c>
      <c r="Q16" s="23" t="str">
        <f t="shared" si="2"/>
        <v>Mixed Use</v>
      </c>
    </row>
    <row r="17" spans="4:17">
      <c r="D17" s="49" t="s">
        <v>94</v>
      </c>
      <c r="E17" s="1" t="s">
        <v>381</v>
      </c>
      <c r="F17" s="1" t="s">
        <v>382</v>
      </c>
      <c r="G17" s="1" t="s">
        <v>378</v>
      </c>
      <c r="H17" s="1" t="s">
        <v>67</v>
      </c>
      <c r="I17" s="82">
        <v>30165</v>
      </c>
      <c r="J17" s="82">
        <v>0</v>
      </c>
      <c r="K17" s="1" t="s">
        <v>363</v>
      </c>
      <c r="L17" s="147" t="s">
        <v>357</v>
      </c>
      <c r="M17" s="147" t="str">
        <f t="shared" si="0"/>
        <v>N/A</v>
      </c>
      <c r="N17" s="147" t="str">
        <f>IFERROR(L17*$C$2,"N/A")</f>
        <v>N/A</v>
      </c>
      <c r="O17" s="77">
        <f>INDEX(Assumptions!$C$4:$H$6,MATCH(Land!D17,Assumptions!$C$4:$C$6,0),2)</f>
        <v>46387</v>
      </c>
      <c r="P17" s="147">
        <f t="shared" si="1"/>
        <v>9049500</v>
      </c>
      <c r="Q17" s="23" t="str">
        <f t="shared" si="2"/>
        <v>Mixed Use</v>
      </c>
    </row>
    <row r="18" spans="4:17">
      <c r="D18" s="49" t="s">
        <v>94</v>
      </c>
      <c r="E18" s="1" t="s">
        <v>383</v>
      </c>
      <c r="F18" s="1" t="s">
        <v>384</v>
      </c>
      <c r="G18" s="1" t="s">
        <v>385</v>
      </c>
      <c r="H18" s="1" t="s">
        <v>69</v>
      </c>
      <c r="I18" s="82">
        <v>3564</v>
      </c>
      <c r="J18" s="82">
        <v>4729</v>
      </c>
      <c r="K18" s="1" t="s">
        <v>363</v>
      </c>
      <c r="L18" s="147">
        <v>1009948</v>
      </c>
      <c r="M18" s="147">
        <f t="shared" si="0"/>
        <v>283.37485970819301</v>
      </c>
      <c r="N18" s="147">
        <f>IFERROR(L18*$C$2,"N/A")</f>
        <v>13877.695468</v>
      </c>
      <c r="O18" s="77">
        <f>INDEX(Assumptions!$C$4:$H$6,MATCH(Land!D18,Assumptions!$C$4:$C$6,0),2)</f>
        <v>46387</v>
      </c>
      <c r="P18" s="147">
        <f t="shared" si="1"/>
        <v>1009948</v>
      </c>
      <c r="Q18" s="23" t="str">
        <f t="shared" si="2"/>
        <v>Mixed Use</v>
      </c>
    </row>
    <row r="19" spans="4:17">
      <c r="D19" s="49" t="s">
        <v>94</v>
      </c>
      <c r="E19" s="1" t="s">
        <v>386</v>
      </c>
      <c r="F19" s="1" t="s">
        <v>387</v>
      </c>
      <c r="G19" s="1" t="s">
        <v>385</v>
      </c>
      <c r="H19" s="1" t="s">
        <v>69</v>
      </c>
      <c r="I19" s="82">
        <v>2002</v>
      </c>
      <c r="J19" s="82">
        <v>2136</v>
      </c>
      <c r="K19" s="1" t="s">
        <v>363</v>
      </c>
      <c r="L19" s="147">
        <v>224757</v>
      </c>
      <c r="M19" s="147">
        <f t="shared" si="0"/>
        <v>112.26623376623377</v>
      </c>
      <c r="N19" s="147">
        <f>IFERROR(L19*$C$2,"N/A")</f>
        <v>3088.385937</v>
      </c>
      <c r="O19" s="77">
        <f>INDEX(Assumptions!$C$4:$H$6,MATCH(Land!D19,Assumptions!$C$4:$C$6,0),2)</f>
        <v>46387</v>
      </c>
      <c r="P19" s="147">
        <f t="shared" si="1"/>
        <v>224757</v>
      </c>
      <c r="Q19" s="23" t="str">
        <f t="shared" si="2"/>
        <v>Mixed Use</v>
      </c>
    </row>
    <row r="20" spans="4:17">
      <c r="D20" s="49" t="s">
        <v>94</v>
      </c>
      <c r="E20" s="1" t="s">
        <v>388</v>
      </c>
      <c r="F20" s="1" t="s">
        <v>389</v>
      </c>
      <c r="G20" s="1" t="s">
        <v>385</v>
      </c>
      <c r="H20" s="1" t="s">
        <v>69</v>
      </c>
      <c r="I20" s="82">
        <v>1934</v>
      </c>
      <c r="J20" s="82">
        <v>1886</v>
      </c>
      <c r="K20" s="1" t="s">
        <v>363</v>
      </c>
      <c r="L20" s="147">
        <v>389800</v>
      </c>
      <c r="M20" s="147">
        <f t="shared" si="0"/>
        <v>201.5511892450879</v>
      </c>
      <c r="N20" s="147">
        <f>IFERROR(L20*$C$2,"N/A")</f>
        <v>5356.2417999999998</v>
      </c>
      <c r="O20" s="77">
        <f>INDEX(Assumptions!$C$4:$H$6,MATCH(Land!D20,Assumptions!$C$4:$C$6,0),2)</f>
        <v>46387</v>
      </c>
      <c r="P20" s="147">
        <f t="shared" si="1"/>
        <v>389800</v>
      </c>
      <c r="Q20" s="23" t="str">
        <f t="shared" si="2"/>
        <v>Mixed Use</v>
      </c>
    </row>
    <row r="21" spans="4:17">
      <c r="D21" s="49" t="s">
        <v>94</v>
      </c>
      <c r="E21" s="1" t="s">
        <v>390</v>
      </c>
      <c r="F21" s="1" t="s">
        <v>391</v>
      </c>
      <c r="G21" s="1" t="s">
        <v>385</v>
      </c>
      <c r="H21" s="1" t="s">
        <v>69</v>
      </c>
      <c r="I21" s="82">
        <v>2500</v>
      </c>
      <c r="J21" s="82">
        <v>3000</v>
      </c>
      <c r="K21" s="1" t="s">
        <v>363</v>
      </c>
      <c r="L21" s="147">
        <v>696216</v>
      </c>
      <c r="M21" s="147">
        <f t="shared" si="0"/>
        <v>278.4864</v>
      </c>
      <c r="N21" s="147">
        <f>IFERROR(L21*$C$2,"N/A")</f>
        <v>9566.7040560000005</v>
      </c>
      <c r="O21" s="77">
        <f>INDEX(Assumptions!$C$4:$H$6,MATCH(Land!D21,Assumptions!$C$4:$C$6,0),2)</f>
        <v>46387</v>
      </c>
      <c r="P21" s="147">
        <f t="shared" si="1"/>
        <v>696216</v>
      </c>
      <c r="Q21" s="23" t="str">
        <f t="shared" si="2"/>
        <v>Mixed Use</v>
      </c>
    </row>
    <row r="22" spans="4:17">
      <c r="D22" s="49" t="s">
        <v>94</v>
      </c>
      <c r="E22" s="1" t="s">
        <v>392</v>
      </c>
      <c r="F22" s="1" t="s">
        <v>393</v>
      </c>
      <c r="G22" s="1" t="s">
        <v>385</v>
      </c>
      <c r="H22" s="1" t="s">
        <v>69</v>
      </c>
      <c r="I22" s="82">
        <v>4205</v>
      </c>
      <c r="J22" s="82">
        <v>3186</v>
      </c>
      <c r="K22" s="1" t="s">
        <v>363</v>
      </c>
      <c r="L22" s="147">
        <v>566240</v>
      </c>
      <c r="M22" s="147">
        <f t="shared" si="0"/>
        <v>134.65873959571937</v>
      </c>
      <c r="N22" s="147">
        <f>IFERROR(L22*$C$2,"N/A")</f>
        <v>7780.7038400000001</v>
      </c>
      <c r="O22" s="77">
        <f>INDEX(Assumptions!$C$4:$H$6,MATCH(Land!D22,Assumptions!$C$4:$C$6,0),2)</f>
        <v>46387</v>
      </c>
      <c r="P22" s="147">
        <f t="shared" si="1"/>
        <v>566240</v>
      </c>
      <c r="Q22" s="23" t="str">
        <f t="shared" si="2"/>
        <v>Mixed Use</v>
      </c>
    </row>
    <row r="23" spans="4:17">
      <c r="D23" s="49" t="s">
        <v>94</v>
      </c>
      <c r="E23" s="1" t="s">
        <v>394</v>
      </c>
      <c r="F23" s="1" t="s">
        <v>395</v>
      </c>
      <c r="G23" s="1" t="s">
        <v>385</v>
      </c>
      <c r="H23" s="1" t="s">
        <v>69</v>
      </c>
      <c r="I23" s="82">
        <v>2500</v>
      </c>
      <c r="J23" s="82">
        <v>1369</v>
      </c>
      <c r="K23" s="1" t="s">
        <v>363</v>
      </c>
      <c r="L23" s="147">
        <v>485371</v>
      </c>
      <c r="M23" s="147">
        <f t="shared" si="0"/>
        <v>194.14840000000001</v>
      </c>
      <c r="N23" s="147">
        <f>IFERROR(L23*$C$2,"N/A")</f>
        <v>6669.4829110000001</v>
      </c>
      <c r="O23" s="77">
        <f>INDEX(Assumptions!$C$4:$H$6,MATCH(Land!D23,Assumptions!$C$4:$C$6,0),2)</f>
        <v>46387</v>
      </c>
      <c r="P23" s="147">
        <f t="shared" si="1"/>
        <v>485371</v>
      </c>
      <c r="Q23" s="23" t="str">
        <f t="shared" si="2"/>
        <v>Mixed Use</v>
      </c>
    </row>
    <row r="24" spans="4:17">
      <c r="D24" s="49" t="s">
        <v>94</v>
      </c>
      <c r="E24" s="1" t="s">
        <v>396</v>
      </c>
      <c r="F24" s="1" t="s">
        <v>397</v>
      </c>
      <c r="G24" s="1" t="s">
        <v>385</v>
      </c>
      <c r="H24" s="1" t="s">
        <v>69</v>
      </c>
      <c r="I24" s="82">
        <v>8481</v>
      </c>
      <c r="J24" s="82">
        <v>14437</v>
      </c>
      <c r="K24" s="1" t="s">
        <v>363</v>
      </c>
      <c r="L24" s="147">
        <v>2661685</v>
      </c>
      <c r="M24" s="147">
        <f t="shared" si="0"/>
        <v>313.84093856856504</v>
      </c>
      <c r="N24" s="147">
        <f>IFERROR(L24*$C$2,"N/A")</f>
        <v>36574.213584999998</v>
      </c>
      <c r="O24" s="77">
        <f>INDEX(Assumptions!$C$4:$H$6,MATCH(Land!D24,Assumptions!$C$4:$C$6,0),2)</f>
        <v>46387</v>
      </c>
      <c r="P24" s="147">
        <f t="shared" si="1"/>
        <v>2661685</v>
      </c>
      <c r="Q24" s="23" t="str">
        <f t="shared" si="2"/>
        <v>Mixed Use</v>
      </c>
    </row>
    <row r="25" spans="4:17">
      <c r="D25" s="49" t="s">
        <v>94</v>
      </c>
      <c r="E25" s="1" t="s">
        <v>398</v>
      </c>
      <c r="F25" s="1" t="s">
        <v>399</v>
      </c>
      <c r="G25" s="1" t="s">
        <v>385</v>
      </c>
      <c r="H25" s="1" t="s">
        <v>67</v>
      </c>
      <c r="I25" s="82">
        <v>31871</v>
      </c>
      <c r="J25" s="82">
        <v>0</v>
      </c>
      <c r="K25" s="1" t="s">
        <v>363</v>
      </c>
      <c r="L25" s="147" t="s">
        <v>357</v>
      </c>
      <c r="M25" s="147" t="str">
        <f t="shared" si="0"/>
        <v>N/A</v>
      </c>
      <c r="N25" s="147" t="str">
        <f>IFERROR(L25*$C$2,"N/A")</f>
        <v>N/A</v>
      </c>
      <c r="O25" s="77">
        <f>INDEX(Assumptions!$C$4:$H$6,MATCH(Land!D25,Assumptions!$C$4:$C$6,0),2)</f>
        <v>46387</v>
      </c>
      <c r="P25" s="147">
        <f t="shared" si="1"/>
        <v>9561300</v>
      </c>
      <c r="Q25" s="23" t="str">
        <f t="shared" si="2"/>
        <v>Mixed Use</v>
      </c>
    </row>
    <row r="26" spans="4:17">
      <c r="D26" s="1" t="s">
        <v>91</v>
      </c>
      <c r="E26" s="1" t="s">
        <v>400</v>
      </c>
      <c r="F26" s="1" t="s">
        <v>357</v>
      </c>
      <c r="H26" s="1" t="s">
        <v>67</v>
      </c>
      <c r="I26" s="82">
        <f>72500</f>
        <v>72500</v>
      </c>
      <c r="J26" s="82">
        <v>0</v>
      </c>
      <c r="K26" s="1" t="s">
        <v>357</v>
      </c>
      <c r="L26" s="147" t="s">
        <v>357</v>
      </c>
      <c r="M26" s="147" t="str">
        <f t="shared" si="0"/>
        <v>N/A</v>
      </c>
      <c r="N26" s="147" t="str">
        <f>IFERROR(L26*$C$2,"N/A")</f>
        <v>N/A</v>
      </c>
      <c r="O26" s="77">
        <f>INDEX(Assumptions!$C$4:$H$6,MATCH(Land!D26,Assumptions!$C$4:$C$6,0),2)</f>
        <v>44926</v>
      </c>
      <c r="P26" s="147">
        <f>IF(H26="Public",$C$4*I26,L26)</f>
        <v>362500</v>
      </c>
      <c r="Q26" s="23" t="e">
        <f t="shared" si="2"/>
        <v>#N/A</v>
      </c>
    </row>
    <row r="27" spans="4:17">
      <c r="D27" s="1" t="s">
        <v>91</v>
      </c>
      <c r="E27" s="1" t="s">
        <v>401</v>
      </c>
      <c r="F27" s="1" t="s">
        <v>357</v>
      </c>
      <c r="H27" s="1" t="s">
        <v>67</v>
      </c>
      <c r="I27" s="82">
        <v>72500</v>
      </c>
      <c r="J27" s="82">
        <v>0</v>
      </c>
      <c r="K27" s="1" t="s">
        <v>357</v>
      </c>
      <c r="L27" s="147" t="s">
        <v>357</v>
      </c>
      <c r="M27" s="147" t="str">
        <f t="shared" si="0"/>
        <v>N/A</v>
      </c>
      <c r="N27" s="147" t="str">
        <f>IFERROR(L27*$C$2,"N/A")</f>
        <v>N/A</v>
      </c>
      <c r="O27" s="77">
        <f>INDEX(Assumptions!$C$4:$H$6,MATCH(Land!D27,Assumptions!$C$4:$C$6,0),2)</f>
        <v>44926</v>
      </c>
      <c r="P27" s="147">
        <f>IF(H27="Public",$C$4*I27,L27)</f>
        <v>362500</v>
      </c>
      <c r="Q27" s="23" t="e">
        <f t="shared" si="2"/>
        <v>#N/A</v>
      </c>
    </row>
    <row r="30" spans="4:17">
      <c r="L30" s="478" t="s">
        <v>283</v>
      </c>
      <c r="M30" s="478"/>
      <c r="N30" s="478"/>
    </row>
    <row r="31" spans="4:17">
      <c r="K31" s="55"/>
      <c r="L31" s="55" t="s">
        <v>91</v>
      </c>
      <c r="M31" s="55" t="s">
        <v>93</v>
      </c>
      <c r="N31" s="55" t="s">
        <v>94</v>
      </c>
      <c r="O31" s="55" t="s">
        <v>54</v>
      </c>
    </row>
    <row r="32" spans="4:17">
      <c r="K32" s="52" t="s">
        <v>69</v>
      </c>
      <c r="L32" s="178">
        <f>SUMIFS($P$7:$P$27,$H$7:$H$27,K32,$D$7:$D$27,$L$31)</f>
        <v>545192</v>
      </c>
      <c r="M32" s="178">
        <f>SUMIFS($P$7:$P$27,$H$7:$H$27,$K$32,$D$7:$D$27,M31)</f>
        <v>0</v>
      </c>
      <c r="N32" s="178">
        <f>SUMIFS($P$7:$P$27,$H$7:$H$27,$K$32,$D$7:$D$27,N31)</f>
        <v>6819673</v>
      </c>
      <c r="O32" s="179">
        <f>SUM(L32:N32)</f>
        <v>7364865</v>
      </c>
    </row>
    <row r="33" spans="11:15">
      <c r="K33" s="52" t="s">
        <v>67</v>
      </c>
      <c r="L33" s="178">
        <f>SUMIFS($P$7:$P$27,$H$7:$H$27,$K$33,$D$7:$D$27,L31)</f>
        <v>56119100</v>
      </c>
      <c r="M33" s="178">
        <f>SUMIFS($P$7:$P$27,$H$7:$H$27,$K$33,$D$7:$D$27,M31)</f>
        <v>17964902</v>
      </c>
      <c r="N33" s="178">
        <f>SUMIFS($P$7:$P$27,$H$7:$H$27,$K$33,$D$7:$D$27,N31)</f>
        <v>18610800</v>
      </c>
      <c r="O33" s="179">
        <f>SUM(L33:N33)</f>
        <v>92694802</v>
      </c>
    </row>
    <row r="34" spans="11:15">
      <c r="K34" s="52" t="s">
        <v>54</v>
      </c>
      <c r="L34" s="179">
        <f>SUM(L32:L33)</f>
        <v>56664292</v>
      </c>
      <c r="M34" s="179">
        <f t="shared" ref="M34:O34" si="3">SUM(M32:M33)</f>
        <v>17964902</v>
      </c>
      <c r="N34" s="179">
        <f t="shared" si="3"/>
        <v>25430473</v>
      </c>
      <c r="O34" s="179">
        <f t="shared" si="3"/>
        <v>100059667</v>
      </c>
    </row>
    <row r="36" spans="11:15">
      <c r="L36" s="478" t="s">
        <v>402</v>
      </c>
      <c r="M36" s="478"/>
      <c r="N36" s="478"/>
    </row>
    <row r="37" spans="11:15">
      <c r="K37" s="55"/>
      <c r="L37" s="55" t="str">
        <f>L31</f>
        <v>Phase I</v>
      </c>
      <c r="M37" s="55" t="str">
        <f>M31</f>
        <v>Phase II</v>
      </c>
      <c r="N37" s="55" t="str">
        <f>N31</f>
        <v>Phase III</v>
      </c>
      <c r="O37" s="55" t="s">
        <v>54</v>
      </c>
    </row>
    <row r="38" spans="11:15">
      <c r="K38" s="52" t="s">
        <v>69</v>
      </c>
      <c r="L38" s="180">
        <f>SUMIFS($I$7:$I$27,$H$7:$H$27,K38,$D$7:$D$27,$L$31)</f>
        <v>11633</v>
      </c>
      <c r="M38" s="180">
        <f>SUMIFS($I$7:$I$27,$H$7:$H$27,K38,$D$7:$D$27,$M$31)</f>
        <v>0</v>
      </c>
      <c r="N38" s="180">
        <f>SUMIFS($I$7:$I$27,$H$7:$H$27,K38,$D$7:$D$27,$N$31)</f>
        <v>54986</v>
      </c>
      <c r="O38" s="90">
        <f>SUM(L38:N38)</f>
        <v>66619</v>
      </c>
    </row>
    <row r="39" spans="11:15">
      <c r="K39" s="52" t="s">
        <v>67</v>
      </c>
      <c r="L39" s="180">
        <f>SUMIFS($I$7:$I$27,$H$7:$H$27,K39,$D$7:$D$27,$L$31)</f>
        <v>329647</v>
      </c>
      <c r="M39" s="180">
        <f>SUMIFS($I$7:$I$27,$H$7:$H$27,K39,$D$7:$D$27,$M$31)</f>
        <v>119835</v>
      </c>
      <c r="N39" s="180">
        <f>SUMIFS($I$7:$I$27,$H$7:$H$27,K39,$D$7:$D$27,$N$31)</f>
        <v>62036</v>
      </c>
      <c r="O39" s="90">
        <f>SUM(L39:N39)</f>
        <v>511518</v>
      </c>
    </row>
    <row r="40" spans="11:15">
      <c r="K40" s="52" t="s">
        <v>54</v>
      </c>
      <c r="L40" s="90">
        <f t="shared" ref="L40:M40" si="4">SUM(L38:L39)</f>
        <v>341280</v>
      </c>
      <c r="M40" s="90">
        <f t="shared" si="4"/>
        <v>119835</v>
      </c>
      <c r="N40" s="90">
        <f t="shared" ref="N40" si="5">SUM(N38:N39)</f>
        <v>117022</v>
      </c>
      <c r="O40" s="90">
        <f t="shared" ref="O40" si="6">SUM(O38:O39)</f>
        <v>578137</v>
      </c>
    </row>
    <row r="42" spans="11:15">
      <c r="L42" s="478" t="s">
        <v>403</v>
      </c>
      <c r="M42" s="478"/>
      <c r="N42" s="478"/>
    </row>
    <row r="43" spans="11:15">
      <c r="K43" s="55"/>
      <c r="L43" s="55" t="str">
        <f>L31</f>
        <v>Phase I</v>
      </c>
      <c r="M43" s="55" t="str">
        <f t="shared" ref="M43:N43" si="7">M31</f>
        <v>Phase II</v>
      </c>
      <c r="N43" s="55" t="str">
        <f t="shared" si="7"/>
        <v>Phase III</v>
      </c>
      <c r="O43" s="55" t="s">
        <v>54</v>
      </c>
    </row>
    <row r="44" spans="11:15">
      <c r="K44" s="52" t="s">
        <v>356</v>
      </c>
      <c r="L44" s="180">
        <f>SUMIFS($I$7:$I$27,$K$7:$K$27,$K$44,$D$7:$D$27,$L$31)</f>
        <v>136100</v>
      </c>
      <c r="M44" s="180">
        <f>SUMIFS($I$7:$I$27,$K$7:$K$27,$K$44,$D$7:$D$27,$M$31)</f>
        <v>59883</v>
      </c>
      <c r="N44" s="180">
        <f>SUMIFS($I$7:$I$27,$K$7:$K$27,$K$44,$D$7:$D$27,$N$31)</f>
        <v>0</v>
      </c>
      <c r="O44" s="90">
        <f>SUM(L44:N44)</f>
        <v>195983</v>
      </c>
    </row>
    <row r="45" spans="11:15">
      <c r="K45" s="52" t="s">
        <v>363</v>
      </c>
      <c r="L45" s="180">
        <f>SUMIFS($I$7:$I$27,$K$7:$K$27,$K$45,$D$7:$D$27,$L$31)</f>
        <v>60180</v>
      </c>
      <c r="M45" s="180">
        <f>SUMIFS($I$7:$I$27,$K$7:$K$27,$K$45,$D$7:$D$27,$M$31)</f>
        <v>0</v>
      </c>
      <c r="N45" s="180">
        <f>SUMIFS($I$7:$I$27,$K$7:$K$27,$K$45,$D$7:$D$27,$N$31)</f>
        <v>117022</v>
      </c>
      <c r="O45" s="90">
        <f>SUM(L45:N45)</f>
        <v>177202</v>
      </c>
    </row>
    <row r="46" spans="11:15">
      <c r="K46" s="52" t="s">
        <v>373</v>
      </c>
      <c r="L46" s="180">
        <f>SUMIFS($I$7:$I$27,$K$7:$K$27,$K$46,$D$7:$D$27,$L$31)</f>
        <v>0</v>
      </c>
      <c r="M46" s="180">
        <f>SUMIFS($I$7:$I$27,$K$7:$K$27,$K$46,$D$7:$D$27,$M$31)</f>
        <v>59952</v>
      </c>
      <c r="N46" s="180">
        <f>SUMIFS($I$7:$I$27,$K$7:$K$27,$K$46,$D$7:$D$27,$N$31)</f>
        <v>0</v>
      </c>
      <c r="O46" s="90">
        <f>SUM(L46:N46)</f>
        <v>59952</v>
      </c>
    </row>
    <row r="47" spans="11:15">
      <c r="K47" s="52" t="s">
        <v>54</v>
      </c>
      <c r="L47" s="90">
        <f t="shared" ref="L47" si="8">SUM(L44:L45)</f>
        <v>196280</v>
      </c>
      <c r="M47" s="90">
        <f t="shared" ref="M47" si="9">SUM(M44:M45)</f>
        <v>59883</v>
      </c>
      <c r="N47" s="90">
        <f t="shared" ref="N47" si="10">SUM(N44:N45)</f>
        <v>117022</v>
      </c>
      <c r="O47" s="90">
        <f t="shared" ref="O47" si="11">SUM(O44:O45)</f>
        <v>373185</v>
      </c>
    </row>
    <row r="50" spans="11:15">
      <c r="K50" s="55" t="s">
        <v>404</v>
      </c>
      <c r="L50" s="55" t="s">
        <v>405</v>
      </c>
      <c r="M50" s="55" t="s">
        <v>341</v>
      </c>
      <c r="N50" s="55" t="s">
        <v>406</v>
      </c>
      <c r="O50" s="55" t="s">
        <v>352</v>
      </c>
    </row>
    <row r="51" spans="11:15">
      <c r="K51" s="52" t="s">
        <v>355</v>
      </c>
      <c r="L51" s="90">
        <f>SUMIF($G$7:$G$27,K51,$I$7:$I$27)</f>
        <v>68050</v>
      </c>
      <c r="M51" s="52" t="str">
        <f>INDEX($D$6:$P$27,MATCH(K51,$G$6:$G$27,0),MATCH($M$50,$D$6:$D$27,0))</f>
        <v>Phase I</v>
      </c>
      <c r="N51" s="179">
        <f>SUMIF($G$7:$G$27,K51,$P$7:$P$27)</f>
        <v>20415000</v>
      </c>
      <c r="O51" s="52" t="s">
        <v>407</v>
      </c>
    </row>
    <row r="52" spans="11:15">
      <c r="K52" s="52" t="s">
        <v>360</v>
      </c>
      <c r="L52" s="90">
        <f t="shared" ref="L52:L57" si="12">SUMIF($G$7:$G$27,K52,$I$7:$I$27)</f>
        <v>68050</v>
      </c>
      <c r="M52" s="52" t="str">
        <f t="shared" ref="M52:M57" si="13">INDEX($D$6:$P$27,MATCH(K52,$G$6:$G$27,0),MATCH($M$50,$D$6:$D$27,0))</f>
        <v>Phase I</v>
      </c>
      <c r="N52" s="179">
        <f t="shared" ref="N52:N57" si="14">SUMIF($G$7:$G$27,K52,$P$7:$P$27)</f>
        <v>20415000</v>
      </c>
      <c r="O52" s="52" t="s">
        <v>407</v>
      </c>
    </row>
    <row r="53" spans="11:15">
      <c r="K53" s="52" t="s">
        <v>370</v>
      </c>
      <c r="L53" s="90">
        <f t="shared" si="12"/>
        <v>59883</v>
      </c>
      <c r="M53" s="52" t="str">
        <f t="shared" si="13"/>
        <v>Phase II</v>
      </c>
      <c r="N53" s="179">
        <f t="shared" si="14"/>
        <v>17964900</v>
      </c>
      <c r="O53" s="52" t="s">
        <v>407</v>
      </c>
    </row>
    <row r="54" spans="11:15">
      <c r="K54" s="52" t="s">
        <v>378</v>
      </c>
      <c r="L54" s="90">
        <f t="shared" si="12"/>
        <v>59965</v>
      </c>
      <c r="M54" s="52" t="str">
        <f t="shared" si="13"/>
        <v>Phase III</v>
      </c>
      <c r="N54" s="179">
        <f t="shared" si="14"/>
        <v>9835156</v>
      </c>
      <c r="O54" s="52" t="s">
        <v>407</v>
      </c>
    </row>
    <row r="55" spans="11:15">
      <c r="K55" s="52" t="s">
        <v>385</v>
      </c>
      <c r="L55" s="90">
        <f t="shared" si="12"/>
        <v>57057</v>
      </c>
      <c r="M55" s="52" t="str">
        <f t="shared" si="13"/>
        <v>Phase III</v>
      </c>
      <c r="N55" s="179">
        <f t="shared" si="14"/>
        <v>15595317</v>
      </c>
      <c r="O55" s="52" t="s">
        <v>407</v>
      </c>
    </row>
    <row r="56" spans="11:15">
      <c r="K56" s="52" t="s">
        <v>300</v>
      </c>
      <c r="L56" s="90">
        <f t="shared" si="12"/>
        <v>60180</v>
      </c>
      <c r="M56" s="52" t="str">
        <f t="shared" si="13"/>
        <v>Phase I</v>
      </c>
      <c r="N56" s="179">
        <f t="shared" si="14"/>
        <v>15109292</v>
      </c>
      <c r="O56" s="52" t="s">
        <v>407</v>
      </c>
    </row>
    <row r="57" spans="11:15">
      <c r="K57" s="52" t="s">
        <v>292</v>
      </c>
      <c r="L57" s="90">
        <f t="shared" si="12"/>
        <v>59952</v>
      </c>
      <c r="M57" s="52" t="str">
        <f t="shared" si="13"/>
        <v>Phase II</v>
      </c>
      <c r="N57" s="179">
        <f t="shared" si="14"/>
        <v>2</v>
      </c>
      <c r="O57" s="52" t="s">
        <v>52</v>
      </c>
    </row>
  </sheetData>
  <mergeCells count="3">
    <mergeCell ref="L30:N30"/>
    <mergeCell ref="L36:N36"/>
    <mergeCell ref="L42:N42"/>
  </mergeCells>
  <phoneticPr fontId="17" type="noConversion"/>
  <pageMargins left="0.7" right="0.7" top="0.75" bottom="0.75" header="0.3" footer="0.3"/>
  <pageSetup orientation="portrait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AB921-A249-6347-B5F3-EEE9F2B60FD8}">
  <sheetPr>
    <tabColor theme="9"/>
  </sheetPr>
  <dimension ref="A1:R430"/>
  <sheetViews>
    <sheetView zoomScale="87" workbookViewId="0"/>
  </sheetViews>
  <sheetFormatPr defaultColWidth="10.875" defaultRowHeight="15.95"/>
  <cols>
    <col min="1" max="1" width="12.875" style="1" bestFit="1" customWidth="1"/>
    <col min="2" max="2" width="72" style="1" bestFit="1" customWidth="1"/>
    <col min="3" max="3" width="14.125" style="1" customWidth="1"/>
    <col min="4" max="4" width="22" style="1" bestFit="1" customWidth="1"/>
    <col min="5" max="7" width="12.875" style="1" bestFit="1" customWidth="1"/>
    <col min="8" max="8" width="14.875" style="1" bestFit="1" customWidth="1"/>
    <col min="9" max="12" width="14.625" style="1" bestFit="1" customWidth="1"/>
    <col min="13" max="13" width="20" style="1" bestFit="1" customWidth="1"/>
    <col min="14" max="18" width="12.125" style="1" bestFit="1" customWidth="1"/>
    <col min="19" max="16384" width="10.875" style="1"/>
  </cols>
  <sheetData>
    <row r="1" spans="1:18">
      <c r="A1" s="76" t="s">
        <v>206</v>
      </c>
      <c r="E1" s="23">
        <v>1</v>
      </c>
      <c r="F1" s="23">
        <f>E1+1</f>
        <v>2</v>
      </c>
      <c r="G1" s="23">
        <f t="shared" ref="G1:N1" si="0">F1+1</f>
        <v>3</v>
      </c>
      <c r="H1" s="23">
        <f t="shared" si="0"/>
        <v>4</v>
      </c>
      <c r="I1" s="23">
        <f t="shared" si="0"/>
        <v>5</v>
      </c>
      <c r="J1" s="23">
        <f t="shared" si="0"/>
        <v>6</v>
      </c>
      <c r="K1" s="23">
        <f t="shared" si="0"/>
        <v>7</v>
      </c>
      <c r="L1" s="23">
        <f t="shared" si="0"/>
        <v>8</v>
      </c>
      <c r="M1" s="23">
        <f t="shared" si="0"/>
        <v>9</v>
      </c>
      <c r="N1" s="23">
        <f t="shared" si="0"/>
        <v>10</v>
      </c>
      <c r="O1" s="23">
        <f t="shared" ref="O1:R1" si="1">N1+1</f>
        <v>11</v>
      </c>
      <c r="P1" s="23">
        <f t="shared" si="1"/>
        <v>12</v>
      </c>
      <c r="Q1" s="23">
        <f t="shared" si="1"/>
        <v>13</v>
      </c>
      <c r="R1" s="23">
        <f t="shared" si="1"/>
        <v>14</v>
      </c>
    </row>
    <row r="2" spans="1:18">
      <c r="B2" s="278"/>
      <c r="C2" s="278"/>
      <c r="D2" s="279">
        <f>YEAR(D3)</f>
        <v>2022</v>
      </c>
      <c r="E2" s="279">
        <f t="shared" ref="E2:N2" si="2">YEAR(E3)</f>
        <v>2023</v>
      </c>
      <c r="F2" s="279">
        <f t="shared" si="2"/>
        <v>2024</v>
      </c>
      <c r="G2" s="279">
        <f t="shared" si="2"/>
        <v>2025</v>
      </c>
      <c r="H2" s="279">
        <f t="shared" si="2"/>
        <v>2026</v>
      </c>
      <c r="I2" s="279">
        <f t="shared" si="2"/>
        <v>2027</v>
      </c>
      <c r="J2" s="279">
        <f t="shared" si="2"/>
        <v>2028</v>
      </c>
      <c r="K2" s="279">
        <f t="shared" si="2"/>
        <v>2029</v>
      </c>
      <c r="L2" s="279">
        <f t="shared" si="2"/>
        <v>2030</v>
      </c>
      <c r="M2" s="279">
        <f t="shared" si="2"/>
        <v>2031</v>
      </c>
      <c r="N2" s="279">
        <f t="shared" si="2"/>
        <v>2032</v>
      </c>
      <c r="O2" s="279">
        <f t="shared" ref="O2" si="3">YEAR(O3)</f>
        <v>2033</v>
      </c>
      <c r="P2" s="279">
        <f t="shared" ref="P2" si="4">YEAR(P3)</f>
        <v>2034</v>
      </c>
      <c r="Q2" s="279">
        <f t="shared" ref="Q2" si="5">YEAR(Q3)</f>
        <v>2035</v>
      </c>
      <c r="R2" s="279">
        <f t="shared" ref="R2" si="6">YEAR(R3)</f>
        <v>2036</v>
      </c>
    </row>
    <row r="3" spans="1:18" ht="18">
      <c r="B3" s="302" t="s">
        <v>118</v>
      </c>
      <c r="C3" s="280"/>
      <c r="D3" s="281">
        <f>(Assumptions!D4)</f>
        <v>44926</v>
      </c>
      <c r="E3" s="281">
        <f>EOMONTH(D3,12)</f>
        <v>45291</v>
      </c>
      <c r="F3" s="281">
        <f t="shared" ref="F3:N3" si="7">EOMONTH(E3,12)</f>
        <v>45657</v>
      </c>
      <c r="G3" s="281">
        <f t="shared" si="7"/>
        <v>46022</v>
      </c>
      <c r="H3" s="281">
        <f t="shared" si="7"/>
        <v>46387</v>
      </c>
      <c r="I3" s="281">
        <f t="shared" si="7"/>
        <v>46752</v>
      </c>
      <c r="J3" s="281">
        <f t="shared" si="7"/>
        <v>47118</v>
      </c>
      <c r="K3" s="281">
        <f t="shared" si="7"/>
        <v>47483</v>
      </c>
      <c r="L3" s="281">
        <f t="shared" si="7"/>
        <v>47848</v>
      </c>
      <c r="M3" s="281">
        <f t="shared" si="7"/>
        <v>48213</v>
      </c>
      <c r="N3" s="281">
        <f t="shared" si="7"/>
        <v>48579</v>
      </c>
      <c r="O3" s="281">
        <f t="shared" ref="O3:R3" si="8">EOMONTH(N3,12)</f>
        <v>48944</v>
      </c>
      <c r="P3" s="281">
        <f t="shared" si="8"/>
        <v>49309</v>
      </c>
      <c r="Q3" s="281">
        <f t="shared" si="8"/>
        <v>49674</v>
      </c>
      <c r="R3" s="281">
        <f t="shared" si="8"/>
        <v>50040</v>
      </c>
    </row>
    <row r="4" spans="1:18">
      <c r="B4" s="134"/>
      <c r="C4" s="134"/>
    </row>
    <row r="5" spans="1:18">
      <c r="B5" s="123" t="s">
        <v>408</v>
      </c>
      <c r="C5" s="123"/>
      <c r="D5" s="91">
        <f>+IF(AND(D3&gt;=Housing!$C$15,D3&lt;Housing!$C$17),Assumptions!$G$38/ROUNDUP((Housing!$C$16/12),0),0)</f>
        <v>0</v>
      </c>
      <c r="E5" s="91">
        <f>+IF(AND(E3&gt;=Housing!$C$15,E3&lt;Housing!$C$17),Assumptions!$G$38/ROUNDUP((Housing!$C$16/12),0),0)</f>
        <v>0</v>
      </c>
      <c r="F5" s="91">
        <f>+IF(AND(F3&gt;=Housing!$C$15,F3&lt;Housing!$C$17),Assumptions!$G$38/ROUNDUP((Housing!$C$16/12),0),0)</f>
        <v>0</v>
      </c>
      <c r="G5" s="91">
        <f>+IF(AND(G3&gt;=Housing!$C$15,G3&lt;Housing!$C$17),Assumptions!$G$38/ROUNDUP((Housing!$C$16/12),0),0)</f>
        <v>0</v>
      </c>
      <c r="H5" s="91">
        <f>+IF(AND(H3&gt;=Housing!$C$15,H3&lt;Housing!$C$17),Assumptions!$G$38/ROUNDUP((Housing!$C$16/12),0),0)</f>
        <v>107800</v>
      </c>
      <c r="I5" s="91">
        <f>+IF(AND(I3&gt;=Housing!$C$15,I3&lt;Housing!$C$17),Assumptions!$G$38/ROUNDUP((Housing!$C$16/12),0),0)</f>
        <v>0</v>
      </c>
      <c r="J5" s="91">
        <f>+IF(AND(J3&gt;=Housing!$C$15,J3&lt;Housing!$C$17),Assumptions!$G$38/ROUNDUP((Housing!$C$16/12),0),0)</f>
        <v>0</v>
      </c>
      <c r="K5" s="91">
        <f>+IF(AND(K3&gt;=Housing!$C$15,K3&lt;Housing!$C$17),Assumptions!$G$38/ROUNDUP((Housing!$C$16/12),0),0)</f>
        <v>0</v>
      </c>
      <c r="L5" s="91">
        <f>+IF(AND(L3&gt;=Housing!$C$15,L3&lt;Housing!$C$17),Assumptions!$G$38/ROUNDUP((Housing!$C$16/12),0),0)</f>
        <v>0</v>
      </c>
      <c r="M5" s="91">
        <f>+IF(AND(M3&gt;=Housing!$C$15,M3&lt;Housing!$C$17),Assumptions!$G$38/ROUNDUP((Housing!$C$16/12),0),0)</f>
        <v>0</v>
      </c>
      <c r="N5" s="91">
        <f>+IF(AND(N3&gt;=Housing!$C$15,N3&lt;Housing!$C$17),Assumptions!$G$38/ROUNDUP((Housing!$C$16/12),0),0)</f>
        <v>0</v>
      </c>
      <c r="O5" s="91">
        <f>+IF(AND(O3&gt;=Housing!$C$15,O3&lt;Housing!$C$17),Assumptions!$G$38/ROUNDUP((Housing!$C$16/12),0),0)</f>
        <v>0</v>
      </c>
      <c r="P5" s="91">
        <f>+IF(AND(P3&gt;=Housing!$C$15,P3&lt;Housing!$C$17),Assumptions!$G$38/ROUNDUP((Housing!$C$16/12),0),0)</f>
        <v>0</v>
      </c>
      <c r="Q5" s="91">
        <f>+IF(AND(Q3&gt;=Housing!$C$15,Q3&lt;Housing!$C$17),Assumptions!$G$38/ROUNDUP((Housing!$C$16/12),0),0)</f>
        <v>0</v>
      </c>
      <c r="R5" s="91">
        <f>+IF(AND(R3&gt;=Housing!$C$15,R3&lt;Housing!$C$17),Assumptions!$G$38/ROUNDUP((Housing!$C$16/12),0),0)</f>
        <v>0</v>
      </c>
    </row>
    <row r="6" spans="1:18">
      <c r="B6" s="123" t="s">
        <v>409</v>
      </c>
      <c r="C6" s="123"/>
      <c r="D6" s="91">
        <v>0</v>
      </c>
      <c r="E6" s="91">
        <f>D6+E5</f>
        <v>0</v>
      </c>
      <c r="F6" s="91">
        <f t="shared" ref="F6:M6" si="9">E6+F5</f>
        <v>0</v>
      </c>
      <c r="G6" s="91">
        <f t="shared" si="9"/>
        <v>0</v>
      </c>
      <c r="H6" s="91">
        <f t="shared" si="9"/>
        <v>107800</v>
      </c>
      <c r="I6" s="91">
        <f t="shared" si="9"/>
        <v>107800</v>
      </c>
      <c r="J6" s="91">
        <f t="shared" si="9"/>
        <v>107800</v>
      </c>
      <c r="K6" s="91">
        <f t="shared" si="9"/>
        <v>107800</v>
      </c>
      <c r="L6" s="91">
        <f t="shared" si="9"/>
        <v>107800</v>
      </c>
      <c r="M6" s="91">
        <f t="shared" si="9"/>
        <v>107800</v>
      </c>
      <c r="N6" s="91">
        <f>M6+N5</f>
        <v>107800</v>
      </c>
      <c r="O6" s="91">
        <f t="shared" ref="O6:R6" si="10">N6+O5</f>
        <v>107800</v>
      </c>
      <c r="P6" s="91">
        <f t="shared" si="10"/>
        <v>107800</v>
      </c>
      <c r="Q6" s="91">
        <f t="shared" si="10"/>
        <v>107800</v>
      </c>
      <c r="R6" s="91">
        <f t="shared" si="10"/>
        <v>107800</v>
      </c>
    </row>
    <row r="7" spans="1:18">
      <c r="B7" s="123" t="s">
        <v>410</v>
      </c>
      <c r="C7" s="123"/>
      <c r="D7" s="91">
        <f>+IF(AND(D3&gt;=Housing!$C$15,D3&lt;Housing!$C$17),Assumptions!$G$39/ROUNDUP((Housing!$C$16/12),0),0)</f>
        <v>0</v>
      </c>
      <c r="E7" s="91">
        <f>+IF(AND(E3&gt;=Housing!$C$15,E3&lt;Housing!$C$17),Assumptions!$G$39/ROUNDUP((Housing!$C$16/12),0),0)</f>
        <v>0</v>
      </c>
      <c r="F7" s="91">
        <f>+IF(AND(F3&gt;=Housing!$C$15,F3&lt;Housing!$C$17),Assumptions!$G$39/ROUNDUP((Housing!$C$16/12),0),0)</f>
        <v>0</v>
      </c>
      <c r="G7" s="91">
        <f>+IF(AND(G3&gt;=Housing!$C$15,G3&lt;Housing!$C$17),Assumptions!$G$39/ROUNDUP((Housing!$C$16/12),0),0)</f>
        <v>0</v>
      </c>
      <c r="H7" s="91">
        <f>+IF(AND(H3&gt;=Housing!$C$15,H3&lt;Housing!$C$17),Assumptions!$G$39/ROUNDUP((Housing!$C$16/12),0),0)</f>
        <v>200</v>
      </c>
      <c r="I7" s="91">
        <f>+IF(AND(I3&gt;=Housing!$C$15,I3&lt;Housing!$C$17),Assumptions!$G$39/ROUNDUP((Housing!$C$16/12),0),0)</f>
        <v>0</v>
      </c>
      <c r="J7" s="91">
        <f>+IF(AND(J3&gt;=Housing!$C$15,J3&lt;Housing!$C$17),Assumptions!$G$39/ROUNDUP((Housing!$C$16/12),0),0)</f>
        <v>0</v>
      </c>
      <c r="K7" s="91">
        <f>+IF(AND(K3&gt;=Housing!$C$15,K3&lt;Housing!$C$17),Assumptions!$G$39/ROUNDUP((Housing!$C$16/12),0),0)</f>
        <v>0</v>
      </c>
      <c r="L7" s="91">
        <f>+IF(AND(L3&gt;=Housing!$C$15,L3&lt;Housing!$C$17),Assumptions!$G$39/ROUNDUP((Housing!$C$16/12),0),0)</f>
        <v>0</v>
      </c>
      <c r="M7" s="91">
        <f>+IF(AND(M3&gt;=Housing!$C$15,M3&lt;Housing!$C$17),Assumptions!$G$39/ROUNDUP((Housing!$C$16/12),0),0)</f>
        <v>0</v>
      </c>
      <c r="N7" s="91">
        <f>+IF(AND(N3&gt;=Housing!$C$15,N3&lt;Housing!$C$17),Assumptions!$G$39/ROUNDUP((Housing!$C$16/12),0),0)</f>
        <v>0</v>
      </c>
      <c r="O7" s="91">
        <f>+IF(AND(O3&gt;=Housing!$C$15,O3&lt;Housing!$C$17),Assumptions!$G$39/ROUNDUP((Housing!$C$16/12),0),0)</f>
        <v>0</v>
      </c>
      <c r="P7" s="91">
        <f>+IF(AND(P3&gt;=Housing!$C$15,P3&lt;Housing!$C$17),Assumptions!$G$39/ROUNDUP((Housing!$C$16/12),0),0)</f>
        <v>0</v>
      </c>
      <c r="Q7" s="91">
        <f>+IF(AND(Q3&gt;=Housing!$C$15,Q3&lt;Housing!$C$17),Assumptions!$G$39/ROUNDUP((Housing!$C$16/12),0),0)</f>
        <v>0</v>
      </c>
      <c r="R7" s="91">
        <f>+IF(AND(R3&gt;=Housing!$C$15,R3&lt;Housing!$C$17),Assumptions!$G$39/ROUNDUP((Housing!$C$16/12),0),0)</f>
        <v>0</v>
      </c>
    </row>
    <row r="8" spans="1:18">
      <c r="B8" s="123" t="s">
        <v>411</v>
      </c>
      <c r="C8" s="123"/>
      <c r="D8" s="23">
        <v>0</v>
      </c>
      <c r="E8" s="91">
        <f>E7+D8</f>
        <v>0</v>
      </c>
      <c r="F8" s="91">
        <f t="shared" ref="F8:N8" si="11">F7+E8</f>
        <v>0</v>
      </c>
      <c r="G8" s="91">
        <f t="shared" si="11"/>
        <v>0</v>
      </c>
      <c r="H8" s="91">
        <f t="shared" si="11"/>
        <v>200</v>
      </c>
      <c r="I8" s="91">
        <f t="shared" si="11"/>
        <v>200</v>
      </c>
      <c r="J8" s="91">
        <f t="shared" si="11"/>
        <v>200</v>
      </c>
      <c r="K8" s="91">
        <f t="shared" si="11"/>
        <v>200</v>
      </c>
      <c r="L8" s="91">
        <f t="shared" si="11"/>
        <v>200</v>
      </c>
      <c r="M8" s="91">
        <f t="shared" si="11"/>
        <v>200</v>
      </c>
      <c r="N8" s="91">
        <f t="shared" si="11"/>
        <v>200</v>
      </c>
      <c r="O8" s="91">
        <f t="shared" ref="O8" si="12">O7+N8</f>
        <v>200</v>
      </c>
      <c r="P8" s="91">
        <f t="shared" ref="P8" si="13">P7+O8</f>
        <v>200</v>
      </c>
      <c r="Q8" s="91">
        <f t="shared" ref="Q8" si="14">Q7+P8</f>
        <v>200</v>
      </c>
      <c r="R8" s="91">
        <f t="shared" ref="R8" si="15">R7+Q8</f>
        <v>200</v>
      </c>
    </row>
    <row r="9" spans="1:18">
      <c r="B9" s="123" t="s">
        <v>412</v>
      </c>
      <c r="C9" s="123"/>
      <c r="D9" s="85">
        <f>D8/SUM($D$7:$N$7)</f>
        <v>0</v>
      </c>
      <c r="E9" s="85">
        <f t="shared" ref="E9:N9" si="16">E8/SUM($D$7:$N$7)</f>
        <v>0</v>
      </c>
      <c r="F9" s="85">
        <f t="shared" si="16"/>
        <v>0</v>
      </c>
      <c r="G9" s="85">
        <f t="shared" si="16"/>
        <v>0</v>
      </c>
      <c r="H9" s="85">
        <f t="shared" si="16"/>
        <v>1</v>
      </c>
      <c r="I9" s="85">
        <f t="shared" si="16"/>
        <v>1</v>
      </c>
      <c r="J9" s="85">
        <f t="shared" si="16"/>
        <v>1</v>
      </c>
      <c r="K9" s="85">
        <f t="shared" si="16"/>
        <v>1</v>
      </c>
      <c r="L9" s="85">
        <f t="shared" si="16"/>
        <v>1</v>
      </c>
      <c r="M9" s="85">
        <f t="shared" si="16"/>
        <v>1</v>
      </c>
      <c r="N9" s="85">
        <f t="shared" si="16"/>
        <v>1</v>
      </c>
      <c r="O9" s="85">
        <f t="shared" ref="O9" si="17">O8/SUM($D$7:$N$7)</f>
        <v>1</v>
      </c>
      <c r="P9" s="85">
        <f t="shared" ref="P9" si="18">P8/SUM($D$7:$N$7)</f>
        <v>1</v>
      </c>
      <c r="Q9" s="85">
        <f t="shared" ref="Q9" si="19">Q8/SUM($D$7:$N$7)</f>
        <v>1</v>
      </c>
      <c r="R9" s="85">
        <f t="shared" ref="R9" si="20">R8/SUM($D$7:$N$7)</f>
        <v>1</v>
      </c>
    </row>
    <row r="10" spans="1:18">
      <c r="B10" s="123"/>
      <c r="C10" s="1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</row>
    <row r="11" spans="1:18">
      <c r="B11" s="123" t="s">
        <v>413</v>
      </c>
      <c r="C11" s="123"/>
      <c r="D11" s="51">
        <v>1</v>
      </c>
      <c r="E11" s="209">
        <f>D11*(1+Assumptions!$V$58)</f>
        <v>1.0149999999999999</v>
      </c>
      <c r="F11" s="209">
        <f>E11*(1+Assumptions!$V$58)</f>
        <v>1.0302249999999997</v>
      </c>
      <c r="G11" s="209">
        <f>F11*(1+Assumptions!$V$58)</f>
        <v>1.0456783749999996</v>
      </c>
      <c r="H11" s="209">
        <f>G11*(1+Assumptions!$V$58)</f>
        <v>1.0613635506249994</v>
      </c>
      <c r="I11" s="209">
        <f>H11*(1+Assumptions!$V$58)</f>
        <v>1.0772840038843743</v>
      </c>
      <c r="J11" s="209">
        <f>I11*(1+Assumptions!$V$58)</f>
        <v>1.0934432639426397</v>
      </c>
      <c r="K11" s="209">
        <f>J11*(1+Assumptions!$V$58)</f>
        <v>1.1098449129017791</v>
      </c>
      <c r="L11" s="209">
        <f>K11*(1+Assumptions!$V$58)</f>
        <v>1.1264925865953057</v>
      </c>
      <c r="M11" s="209">
        <f>L11*(1+Assumptions!$V$58)</f>
        <v>1.1433899753942351</v>
      </c>
      <c r="N11" s="209">
        <f>M11*(1+Assumptions!$V$58)</f>
        <v>1.1605408250251485</v>
      </c>
      <c r="O11" s="209">
        <f>N11*(1+Assumptions!$V$58)</f>
        <v>1.1779489374005256</v>
      </c>
      <c r="P11" s="209">
        <f>O11*(1+Assumptions!$V$58)</f>
        <v>1.1956181714615335</v>
      </c>
      <c r="Q11" s="209">
        <f>P11*(1+Assumptions!$V$58)</f>
        <v>1.2135524440334564</v>
      </c>
      <c r="R11" s="209">
        <f>Q11*(1+Assumptions!$V$58)</f>
        <v>1.2317557306939582</v>
      </c>
    </row>
    <row r="12" spans="1:18">
      <c r="B12" s="123" t="s">
        <v>414</v>
      </c>
      <c r="C12" s="123"/>
      <c r="D12" s="51">
        <v>1</v>
      </c>
      <c r="E12" s="209">
        <f>D12*(1+Assumptions!$V$68)</f>
        <v>1.03</v>
      </c>
      <c r="F12" s="209">
        <f>E12*(1+Assumptions!$V$68)</f>
        <v>1.0609</v>
      </c>
      <c r="G12" s="209">
        <f>F12*(1+Assumptions!$V$68)</f>
        <v>1.092727</v>
      </c>
      <c r="H12" s="209">
        <f>G12*(1+Assumptions!$V$68)</f>
        <v>1.1255088100000001</v>
      </c>
      <c r="I12" s="209">
        <f>H12*(1+Assumptions!$V$68)</f>
        <v>1.1592740743000001</v>
      </c>
      <c r="J12" s="209">
        <f>I12*(1+Assumptions!$V$68)</f>
        <v>1.1940522965290001</v>
      </c>
      <c r="K12" s="209">
        <f>J12*(1+Assumptions!$V$68)</f>
        <v>1.2298738654248702</v>
      </c>
      <c r="L12" s="209">
        <f>K12*(1+Assumptions!$V$68)</f>
        <v>1.2667700813876164</v>
      </c>
      <c r="M12" s="209">
        <f>L12*(1+Assumptions!$V$68)</f>
        <v>1.3047731838292449</v>
      </c>
      <c r="N12" s="209">
        <f>M12*(1+Assumptions!$V$68)</f>
        <v>1.3439163793441222</v>
      </c>
      <c r="O12" s="209">
        <f>N12*(1+Assumptions!$V$68)</f>
        <v>1.3842338707244459</v>
      </c>
      <c r="P12" s="209">
        <f>O12*(1+Assumptions!$V$68)</f>
        <v>1.4257608868461793</v>
      </c>
      <c r="Q12" s="209">
        <f>P12*(1+Assumptions!$V$68)</f>
        <v>1.4685337134515648</v>
      </c>
      <c r="R12" s="209">
        <f>Q12*(1+Assumptions!$V$68)</f>
        <v>1.5125897248551119</v>
      </c>
    </row>
    <row r="13" spans="1:18">
      <c r="B13" s="123"/>
      <c r="C13" s="1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</row>
    <row r="14" spans="1:18">
      <c r="B14" s="123" t="s">
        <v>415</v>
      </c>
      <c r="C14" s="123"/>
      <c r="D14" s="210">
        <f ca="1">D11*D9*Assumptions!$G$37</f>
        <v>0</v>
      </c>
      <c r="E14" s="210">
        <f ca="1">E11*E9*Assumptions!$G$37</f>
        <v>0</v>
      </c>
      <c r="F14" s="210">
        <f ca="1">F11*F9*Assumptions!$G$37</f>
        <v>0</v>
      </c>
      <c r="G14" s="210">
        <f ca="1">G11*G9*Assumptions!$G$37</f>
        <v>0</v>
      </c>
      <c r="H14" s="210">
        <f ca="1">H11*H9*Assumptions!$G$37</f>
        <v>3966259.7361754975</v>
      </c>
      <c r="I14" s="210">
        <f ca="1">I11*I9*Assumptions!$G$37</f>
        <v>4025753.6322181295</v>
      </c>
      <c r="J14" s="210">
        <f ca="1">J11*J9*Assumptions!$G$37</f>
        <v>4086139.9367014002</v>
      </c>
      <c r="K14" s="210">
        <f ca="1">K11*K9*Assumptions!$G$37</f>
        <v>4147432.0357519207</v>
      </c>
      <c r="L14" s="210">
        <f ca="1">L11*L9*Assumptions!$G$37</f>
        <v>4209643.5162881995</v>
      </c>
      <c r="M14" s="210">
        <f ca="1">M11*M9*Assumptions!$G$37</f>
        <v>4272788.1690325215</v>
      </c>
      <c r="N14" s="210">
        <f ca="1">N11*N9*Assumptions!$G$37</f>
        <v>4336879.9915680094</v>
      </c>
      <c r="O14" s="210">
        <f ca="1">O11*O9*Assumptions!$G$37</f>
        <v>4401933.1914415285</v>
      </c>
      <c r="P14" s="210">
        <f ca="1">P11*P9*Assumptions!$G$37</f>
        <v>4467962.1893131519</v>
      </c>
      <c r="Q14" s="210">
        <f ca="1">Q11*Q9*Assumptions!$G$37</f>
        <v>4534981.6221528482</v>
      </c>
      <c r="R14" s="210">
        <f ca="1">R11*R9*Assumptions!$G$37</f>
        <v>4603006.3464851407</v>
      </c>
    </row>
    <row r="15" spans="1:18">
      <c r="B15" s="123" t="s">
        <v>416</v>
      </c>
      <c r="C15" s="123"/>
      <c r="D15" s="210">
        <f ca="1">-D14*Assumptions!$V$50</f>
        <v>0</v>
      </c>
      <c r="E15" s="210">
        <f ca="1">-E14*Assumptions!$V$50</f>
        <v>0</v>
      </c>
      <c r="F15" s="210">
        <f ca="1">-F14*Assumptions!$V$50</f>
        <v>0</v>
      </c>
      <c r="G15" s="210">
        <f ca="1">-G14*Assumptions!$V$50</f>
        <v>0</v>
      </c>
      <c r="H15" s="210">
        <f ca="1">-H14*Assumptions!$V$50</f>
        <v>-118987.79208526493</v>
      </c>
      <c r="I15" s="210">
        <f ca="1">-I14*Assumptions!$V$50</f>
        <v>-120772.60896654388</v>
      </c>
      <c r="J15" s="210">
        <f ca="1">-J14*Assumptions!$V$50</f>
        <v>-122584.198101042</v>
      </c>
      <c r="K15" s="210">
        <f ca="1">-K14*Assumptions!$V$50</f>
        <v>-124422.96107255762</v>
      </c>
      <c r="L15" s="210">
        <f ca="1">-L14*Assumptions!$V$50</f>
        <v>-126289.30548864597</v>
      </c>
      <c r="M15" s="210">
        <f ca="1">-M14*Assumptions!$V$50</f>
        <v>-128183.64507097565</v>
      </c>
      <c r="N15" s="210">
        <f ca="1">-N14*Assumptions!$V$50</f>
        <v>-130106.39974704028</v>
      </c>
      <c r="O15" s="210">
        <f ca="1">-O14*Assumptions!$V$50</f>
        <v>-132057.99574324585</v>
      </c>
      <c r="P15" s="210">
        <f ca="1">-P14*Assumptions!$V$50</f>
        <v>-134038.86567939454</v>
      </c>
      <c r="Q15" s="210">
        <f ca="1">-Q14*Assumptions!$V$50</f>
        <v>-136049.44866458545</v>
      </c>
      <c r="R15" s="210">
        <f ca="1">-R14*Assumptions!$V$50</f>
        <v>-138090.19039455423</v>
      </c>
    </row>
    <row r="16" spans="1:18">
      <c r="B16" s="128" t="s">
        <v>417</v>
      </c>
      <c r="C16" s="128"/>
      <c r="D16" s="210">
        <f ca="1">D14+D15</f>
        <v>0</v>
      </c>
      <c r="E16" s="210">
        <f t="shared" ref="E16:N16" ca="1" si="21">E14+E15</f>
        <v>0</v>
      </c>
      <c r="F16" s="210">
        <f t="shared" ca="1" si="21"/>
        <v>0</v>
      </c>
      <c r="G16" s="210">
        <f t="shared" ca="1" si="21"/>
        <v>0</v>
      </c>
      <c r="H16" s="210">
        <f t="shared" ca="1" si="21"/>
        <v>3847271.9440902327</v>
      </c>
      <c r="I16" s="210">
        <f t="shared" ca="1" si="21"/>
        <v>3904981.0232515857</v>
      </c>
      <c r="J16" s="210">
        <f t="shared" ca="1" si="21"/>
        <v>3963555.7386003584</v>
      </c>
      <c r="K16" s="210">
        <f t="shared" ca="1" si="21"/>
        <v>4023009.0746793631</v>
      </c>
      <c r="L16" s="210">
        <f t="shared" ca="1" si="21"/>
        <v>4083354.2107995534</v>
      </c>
      <c r="M16" s="210">
        <f t="shared" ca="1" si="21"/>
        <v>4144604.5239615459</v>
      </c>
      <c r="N16" s="210">
        <f t="shared" ca="1" si="21"/>
        <v>4206773.5918209692</v>
      </c>
      <c r="O16" s="210">
        <f t="shared" ref="O16" ca="1" si="22">O14+O15</f>
        <v>4269875.1956982827</v>
      </c>
      <c r="P16" s="210">
        <f t="shared" ref="P16" ca="1" si="23">P14+P15</f>
        <v>4333923.3236337574</v>
      </c>
      <c r="Q16" s="210">
        <f t="shared" ref="Q16" ca="1" si="24">Q14+Q15</f>
        <v>4398932.173488263</v>
      </c>
      <c r="R16" s="210">
        <f t="shared" ref="R16" ca="1" si="25">R14+R15</f>
        <v>4464916.1560905864</v>
      </c>
    </row>
    <row r="17" spans="2:18">
      <c r="B17" s="128"/>
      <c r="C17" s="128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</row>
    <row r="18" spans="2:18">
      <c r="B18" s="128" t="s">
        <v>418</v>
      </c>
      <c r="C18" s="128"/>
      <c r="D18" s="210">
        <f ca="1">D16*(1-D20)</f>
        <v>0</v>
      </c>
      <c r="E18" s="210">
        <f t="shared" ref="E18:N18" ca="1" si="26">E16*(1-E20)</f>
        <v>0</v>
      </c>
      <c r="F18" s="210">
        <f t="shared" ca="1" si="26"/>
        <v>0</v>
      </c>
      <c r="G18" s="210">
        <f t="shared" ca="1" si="26"/>
        <v>0</v>
      </c>
      <c r="H18" s="210">
        <f t="shared" ca="1" si="26"/>
        <v>769454.38881804643</v>
      </c>
      <c r="I18" s="210">
        <f t="shared" ca="1" si="26"/>
        <v>780996.20465031697</v>
      </c>
      <c r="J18" s="210">
        <f t="shared" ca="1" si="26"/>
        <v>792711.14772007149</v>
      </c>
      <c r="K18" s="210">
        <f t="shared" ca="1" si="26"/>
        <v>804601.81493587245</v>
      </c>
      <c r="L18" s="210">
        <f t="shared" ca="1" si="26"/>
        <v>816670.84215991048</v>
      </c>
      <c r="M18" s="210">
        <f t="shared" ca="1" si="26"/>
        <v>828920.90479230904</v>
      </c>
      <c r="N18" s="210">
        <f t="shared" ca="1" si="26"/>
        <v>841354.71836419369</v>
      </c>
      <c r="O18" s="210">
        <f t="shared" ref="O18:R18" ca="1" si="27">O16*(1-O20)</f>
        <v>853975.03913965635</v>
      </c>
      <c r="P18" s="210">
        <f t="shared" ca="1" si="27"/>
        <v>866784.66472675127</v>
      </c>
      <c r="Q18" s="210">
        <f t="shared" ca="1" si="27"/>
        <v>879786.43469765247</v>
      </c>
      <c r="R18" s="210">
        <f t="shared" ca="1" si="27"/>
        <v>892983.23121811706</v>
      </c>
    </row>
    <row r="19" spans="2:18"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</row>
    <row r="20" spans="2:18">
      <c r="B20" s="123" t="s">
        <v>419</v>
      </c>
      <c r="C20" s="123"/>
      <c r="D20" s="51">
        <f>Assumptions!$V$80</f>
        <v>0.8</v>
      </c>
      <c r="E20" s="51">
        <f>Assumptions!$V$80</f>
        <v>0.8</v>
      </c>
      <c r="F20" s="51">
        <f>Assumptions!$V$80</f>
        <v>0.8</v>
      </c>
      <c r="G20" s="51">
        <f>Assumptions!$V$80</f>
        <v>0.8</v>
      </c>
      <c r="H20" s="51">
        <f>Assumptions!$V$80</f>
        <v>0.8</v>
      </c>
      <c r="I20" s="51">
        <f>Assumptions!$V$80</f>
        <v>0.8</v>
      </c>
      <c r="J20" s="51">
        <f>Assumptions!$V$80</f>
        <v>0.8</v>
      </c>
      <c r="K20" s="51">
        <f>Assumptions!$V$80</f>
        <v>0.8</v>
      </c>
      <c r="L20" s="51">
        <f>Assumptions!$V$80</f>
        <v>0.8</v>
      </c>
      <c r="M20" s="51">
        <f>Assumptions!$V$80</f>
        <v>0.8</v>
      </c>
      <c r="N20" s="51">
        <f>Assumptions!$V$80</f>
        <v>0.8</v>
      </c>
      <c r="O20" s="51">
        <f>Assumptions!$V$80</f>
        <v>0.8</v>
      </c>
      <c r="P20" s="51">
        <f>Assumptions!$V$80</f>
        <v>0.8</v>
      </c>
      <c r="Q20" s="51">
        <f>Assumptions!$V$80</f>
        <v>0.8</v>
      </c>
      <c r="R20" s="51">
        <f>Assumptions!$V$80</f>
        <v>0.8</v>
      </c>
    </row>
    <row r="21" spans="2:18" ht="17.100000000000001" thickBot="1">
      <c r="B21" s="123"/>
      <c r="C21" s="1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</row>
    <row r="22" spans="2:18" ht="17.100000000000001" thickBot="1">
      <c r="B22" s="315" t="s">
        <v>420</v>
      </c>
      <c r="C22" s="316"/>
      <c r="D22" s="317">
        <f ca="1">D20*D16</f>
        <v>0</v>
      </c>
      <c r="E22" s="317">
        <f t="shared" ref="E22:N22" ca="1" si="28">E20*E16</f>
        <v>0</v>
      </c>
      <c r="F22" s="317">
        <f t="shared" ca="1" si="28"/>
        <v>0</v>
      </c>
      <c r="G22" s="317">
        <f t="shared" ca="1" si="28"/>
        <v>0</v>
      </c>
      <c r="H22" s="317">
        <f t="shared" ca="1" si="28"/>
        <v>3077817.5552721862</v>
      </c>
      <c r="I22" s="317">
        <f t="shared" ca="1" si="28"/>
        <v>3123984.8186012688</v>
      </c>
      <c r="J22" s="317">
        <f t="shared" ca="1" si="28"/>
        <v>3170844.5908802869</v>
      </c>
      <c r="K22" s="317">
        <f t="shared" ca="1" si="28"/>
        <v>3218407.2597434907</v>
      </c>
      <c r="L22" s="317">
        <f t="shared" ca="1" si="28"/>
        <v>3266683.3686396428</v>
      </c>
      <c r="M22" s="317">
        <f t="shared" ca="1" si="28"/>
        <v>3315683.6191692371</v>
      </c>
      <c r="N22" s="317">
        <f t="shared" ca="1" si="28"/>
        <v>3365418.8734567757</v>
      </c>
      <c r="O22" s="317">
        <f t="shared" ref="O22:R22" ca="1" si="29">O20*O16</f>
        <v>3415900.1565586263</v>
      </c>
      <c r="P22" s="317">
        <f t="shared" ca="1" si="29"/>
        <v>3467138.658907006</v>
      </c>
      <c r="Q22" s="317">
        <f t="shared" ca="1" si="29"/>
        <v>3519145.7387906108</v>
      </c>
      <c r="R22" s="318">
        <f t="shared" ca="1" si="29"/>
        <v>3571932.9248724692</v>
      </c>
    </row>
    <row r="23" spans="2:18">
      <c r="B23" s="127" t="s">
        <v>421</v>
      </c>
      <c r="C23" s="127"/>
      <c r="D23" s="210">
        <f ca="1">D22/Assumptions!$V$89</f>
        <v>0</v>
      </c>
      <c r="E23" s="210">
        <f ca="1">E22/Assumptions!$V$89</f>
        <v>0</v>
      </c>
      <c r="F23" s="210">
        <f ca="1">F22/Assumptions!$V$89</f>
        <v>0</v>
      </c>
      <c r="G23" s="210">
        <f ca="1">G22/Assumptions!$V$89</f>
        <v>0</v>
      </c>
      <c r="H23" s="210">
        <f ca="1">H22/Assumptions!$V$89</f>
        <v>51296959.254536435</v>
      </c>
      <c r="I23" s="210">
        <f ca="1">I22/Assumptions!$V$89</f>
        <v>52066413.643354483</v>
      </c>
      <c r="J23" s="210">
        <f ca="1">J22/Assumptions!$V$89</f>
        <v>52847409.848004781</v>
      </c>
      <c r="K23" s="210">
        <f ca="1">K22/Assumptions!$V$89</f>
        <v>53640120.995724849</v>
      </c>
      <c r="L23" s="210">
        <f ca="1">L22/Assumptions!$V$89</f>
        <v>54444722.810660712</v>
      </c>
      <c r="M23" s="210">
        <f ca="1">M22/Assumptions!$V$89</f>
        <v>55261393.652820617</v>
      </c>
      <c r="N23" s="210">
        <f ca="1">N22/Assumptions!$V$89</f>
        <v>56090314.557612933</v>
      </c>
      <c r="O23" s="210">
        <f ca="1">O22/Assumptions!$V$89</f>
        <v>56931669.275977105</v>
      </c>
      <c r="P23" s="210">
        <f ca="1">P22/Assumptions!$V$89</f>
        <v>57785644.315116771</v>
      </c>
      <c r="Q23" s="210">
        <f ca="1">Q22/Assumptions!$V$89</f>
        <v>58652428.979843512</v>
      </c>
      <c r="R23" s="210">
        <f ca="1">R22/Assumptions!$V$89</f>
        <v>59532215.414541155</v>
      </c>
    </row>
    <row r="24" spans="2:18">
      <c r="B24" s="127"/>
      <c r="C24" s="127"/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</row>
    <row r="25" spans="2:18">
      <c r="B25" s="279"/>
      <c r="C25" s="279"/>
      <c r="D25" s="279">
        <f>D2</f>
        <v>2022</v>
      </c>
      <c r="E25" s="279">
        <f>E2</f>
        <v>2023</v>
      </c>
      <c r="F25" s="279">
        <f>F2</f>
        <v>2024</v>
      </c>
      <c r="G25" s="279">
        <f>G2</f>
        <v>2025</v>
      </c>
      <c r="H25" s="279">
        <f>H2</f>
        <v>2026</v>
      </c>
      <c r="I25" s="279">
        <f>I2</f>
        <v>2027</v>
      </c>
      <c r="J25" s="279">
        <f>J2</f>
        <v>2028</v>
      </c>
      <c r="K25" s="279">
        <f>K2</f>
        <v>2029</v>
      </c>
      <c r="L25" s="279">
        <f>L2</f>
        <v>2030</v>
      </c>
      <c r="M25" s="279">
        <f>M2</f>
        <v>2031</v>
      </c>
      <c r="N25" s="279">
        <f>N2</f>
        <v>2032</v>
      </c>
      <c r="O25" s="279">
        <f t="shared" ref="O25:R25" si="30">O2</f>
        <v>2033</v>
      </c>
      <c r="P25" s="279">
        <f t="shared" si="30"/>
        <v>2034</v>
      </c>
      <c r="Q25" s="279">
        <f t="shared" si="30"/>
        <v>2035</v>
      </c>
      <c r="R25" s="279">
        <f t="shared" si="30"/>
        <v>2036</v>
      </c>
    </row>
    <row r="26" spans="2:18" ht="18">
      <c r="B26" s="303" t="s">
        <v>95</v>
      </c>
      <c r="C26" s="281"/>
      <c r="D26" s="281">
        <f>D3</f>
        <v>44926</v>
      </c>
      <c r="E26" s="281">
        <f>E3</f>
        <v>45291</v>
      </c>
      <c r="F26" s="281">
        <f>F3</f>
        <v>45657</v>
      </c>
      <c r="G26" s="281">
        <f>G3</f>
        <v>46022</v>
      </c>
      <c r="H26" s="281">
        <f>H3</f>
        <v>46387</v>
      </c>
      <c r="I26" s="281">
        <f>I3</f>
        <v>46752</v>
      </c>
      <c r="J26" s="281">
        <f>J3</f>
        <v>47118</v>
      </c>
      <c r="K26" s="281">
        <f>K3</f>
        <v>47483</v>
      </c>
      <c r="L26" s="281">
        <f>L3</f>
        <v>47848</v>
      </c>
      <c r="M26" s="281">
        <f>M3</f>
        <v>48213</v>
      </c>
      <c r="N26" s="281">
        <f>N3</f>
        <v>48579</v>
      </c>
      <c r="O26" s="281">
        <f t="shared" ref="O26:R26" si="31">O3</f>
        <v>48944</v>
      </c>
      <c r="P26" s="281">
        <f t="shared" si="31"/>
        <v>49309</v>
      </c>
      <c r="Q26" s="281">
        <f t="shared" si="31"/>
        <v>49674</v>
      </c>
      <c r="R26" s="281">
        <f t="shared" si="31"/>
        <v>50040</v>
      </c>
    </row>
    <row r="27" spans="2:18">
      <c r="B27" s="134"/>
      <c r="C27" s="134"/>
    </row>
    <row r="28" spans="2:18">
      <c r="B28" s="123" t="s">
        <v>408</v>
      </c>
      <c r="C28" s="123"/>
      <c r="D28" s="91">
        <f>+IF(AND(D3&gt;=Housing!$C$8,D3&lt;Housing!$C$10),Assumptions!$G$65/ROUNDUP((Housing!$C$9/12),0),0)</f>
        <v>0</v>
      </c>
      <c r="E28" s="91">
        <f>+IF(AND(E3&gt;=Housing!$C$8,E3&lt;Housing!$C$10),Assumptions!$G$65/ROUNDUP((Housing!$C$9/12),0),0)</f>
        <v>0</v>
      </c>
      <c r="F28" s="91">
        <f>+IF(AND(F3&gt;=Housing!$C$8,F3&lt;Housing!$C$10),Assumptions!$G$65/ROUNDUP((Housing!$C$9/12),0),0)</f>
        <v>0</v>
      </c>
      <c r="G28" s="91">
        <f>+IF(AND(G3&gt;=Housing!$C$8,G3&lt;Housing!$C$10),Assumptions!$G$65/ROUNDUP((Housing!$C$9/12),0),0)</f>
        <v>0</v>
      </c>
      <c r="H28" s="91">
        <f>+IF(AND(H3&gt;=Housing!$C$8,H3&lt;Housing!$C$10),Assumptions!$G$65/ROUNDUP((Housing!$C$9/12),0),0)</f>
        <v>150000</v>
      </c>
      <c r="I28" s="91">
        <f>+IF(AND(I3&gt;=Housing!$C$8,I3&lt;Housing!$C$10),Assumptions!$G$65/ROUNDUP((Housing!$C$9/12),0),0)</f>
        <v>0</v>
      </c>
      <c r="J28" s="91">
        <f>+IF(AND(J3&gt;=Housing!$C$8,J3&lt;Housing!$C$10),Assumptions!$G$65/ROUNDUP((Housing!$C$9/12),0),0)</f>
        <v>0</v>
      </c>
      <c r="K28" s="91">
        <f>+IF(AND(K3&gt;=Housing!$C$8,K3&lt;Housing!$C$10),Assumptions!$G$65/ROUNDUP((Housing!$C$9/12),0),0)</f>
        <v>0</v>
      </c>
      <c r="L28" s="91">
        <f>+IF(AND(L3&gt;=Housing!$C$8,L3&lt;Housing!$C$10),Assumptions!$G$65/ROUNDUP((Housing!$C$9/12),0),0)</f>
        <v>0</v>
      </c>
      <c r="M28" s="91">
        <f>+IF(AND(M3&gt;=Housing!$C$8,M3&lt;Housing!$C$10),Assumptions!$G$65/ROUNDUP((Housing!$C$9/12),0),0)</f>
        <v>0</v>
      </c>
      <c r="N28" s="91">
        <f>+IF(AND(N3&gt;=Housing!$C$8,N3&lt;Housing!$C$10),Assumptions!$G$65/ROUNDUP((Housing!$C$9/12),0),0)</f>
        <v>0</v>
      </c>
      <c r="O28" s="91">
        <f>+IF(AND(O3&gt;=Housing!$C$8,O3&lt;Housing!$C$10),Assumptions!$G$65/ROUNDUP((Housing!$C$9/12),0),0)</f>
        <v>0</v>
      </c>
      <c r="P28" s="91">
        <f>+IF(AND(P3&gt;=Housing!$C$8,P3&lt;Housing!$C$10),Assumptions!$G$65/ROUNDUP((Housing!$C$9/12),0),0)</f>
        <v>0</v>
      </c>
      <c r="Q28" s="91">
        <f>+IF(AND(Q3&gt;=Housing!$C$8,Q3&lt;Housing!$C$10),Assumptions!$G$65/ROUNDUP((Housing!$C$9/12),0),0)</f>
        <v>0</v>
      </c>
      <c r="R28" s="91">
        <f>+IF(AND(R3&gt;=Housing!$C$8,R3&lt;Housing!$C$10),Assumptions!$G$65/ROUNDUP((Housing!$C$9/12),0),0)</f>
        <v>0</v>
      </c>
    </row>
    <row r="29" spans="2:18">
      <c r="B29" s="123" t="s">
        <v>409</v>
      </c>
      <c r="C29" s="123"/>
      <c r="D29" s="91">
        <v>0</v>
      </c>
      <c r="E29" s="91">
        <f>D29+E28</f>
        <v>0</v>
      </c>
      <c r="F29" s="91">
        <f t="shared" ref="F29:N29" si="32">E29+F28</f>
        <v>0</v>
      </c>
      <c r="G29" s="91">
        <f t="shared" si="32"/>
        <v>0</v>
      </c>
      <c r="H29" s="91">
        <f t="shared" si="32"/>
        <v>150000</v>
      </c>
      <c r="I29" s="91">
        <f t="shared" si="32"/>
        <v>150000</v>
      </c>
      <c r="J29" s="91">
        <f t="shared" si="32"/>
        <v>150000</v>
      </c>
      <c r="K29" s="91">
        <f t="shared" si="32"/>
        <v>150000</v>
      </c>
      <c r="L29" s="91">
        <f t="shared" si="32"/>
        <v>150000</v>
      </c>
      <c r="M29" s="91">
        <f t="shared" si="32"/>
        <v>150000</v>
      </c>
      <c r="N29" s="91">
        <f t="shared" si="32"/>
        <v>150000</v>
      </c>
      <c r="O29" s="91">
        <f t="shared" ref="O29" si="33">N29+O28</f>
        <v>150000</v>
      </c>
      <c r="P29" s="91">
        <f t="shared" ref="P29" si="34">O29+P28</f>
        <v>150000</v>
      </c>
      <c r="Q29" s="91">
        <f t="shared" ref="Q29" si="35">P29+Q28</f>
        <v>150000</v>
      </c>
      <c r="R29" s="91">
        <f t="shared" ref="R29" si="36">Q29+R28</f>
        <v>150000</v>
      </c>
    </row>
    <row r="30" spans="2:18">
      <c r="B30" s="123" t="s">
        <v>410</v>
      </c>
      <c r="C30" s="123"/>
      <c r="D30" s="91">
        <f>+IF(AND(D3&gt;=Housing!$C$8,D3&lt;Housing!$C$10),Assumptions!$G$66/ROUNDUP((Housing!$C$9/12),0),0)</f>
        <v>0</v>
      </c>
      <c r="E30" s="91">
        <f>+IF(AND(E3&gt;=Housing!$C$8,E3&lt;Housing!$C$10),Assumptions!$G$66/ROUNDUP((Housing!$C$9/12),0),0)</f>
        <v>0</v>
      </c>
      <c r="F30" s="91">
        <f>+IF(AND(F3&gt;=Housing!$C$8,F3&lt;Housing!$C$10),Assumptions!$G$66/ROUNDUP((Housing!$C$9/12),0),0)</f>
        <v>0</v>
      </c>
      <c r="G30" s="91">
        <f>+IF(AND(G3&gt;=Housing!$C$8,G3&lt;Housing!$C$10),Assumptions!$G$66/ROUNDUP((Housing!$C$9/12),0),0)</f>
        <v>0</v>
      </c>
      <c r="H30" s="91">
        <f>+IF(AND(H3&gt;=Housing!$C$8,H3&lt;Housing!$C$10),Assumptions!$G$66/ROUNDUP((Housing!$C$9/12),0),0)</f>
        <v>200</v>
      </c>
      <c r="I30" s="91">
        <f>+IF(AND(I3&gt;=Housing!$C$8,I3&lt;Housing!$C$10),Assumptions!$G$66/ROUNDUP((Housing!$C$9/12),0),0)</f>
        <v>0</v>
      </c>
      <c r="J30" s="91">
        <f>+IF(AND(J3&gt;=Housing!$C$8,J3&lt;Housing!$C$10),Assumptions!$G$66/ROUNDUP((Housing!$C$9/12),0),0)</f>
        <v>0</v>
      </c>
      <c r="K30" s="91">
        <f>+IF(AND(K3&gt;=Housing!$C$8,K3&lt;Housing!$C$10),Assumptions!$G$66/ROUNDUP((Housing!$C$9/12),0),0)</f>
        <v>0</v>
      </c>
      <c r="L30" s="91">
        <f>+IF(AND(L3&gt;=Housing!$C$8,L3&lt;Housing!$C$10),Assumptions!$G$66/ROUNDUP((Housing!$C$9/12),0),0)</f>
        <v>0</v>
      </c>
      <c r="M30" s="91">
        <f>+IF(AND(M3&gt;=Housing!$C$8,M3&lt;Housing!$C$10),Assumptions!$G$66/ROUNDUP((Housing!$C$9/12),0),0)</f>
        <v>0</v>
      </c>
      <c r="N30" s="91">
        <f>+IF(AND(N3&gt;=Housing!$C$8,N3&lt;Housing!$C$10),Assumptions!$G$66/ROUNDUP((Housing!$C$9/12),0),0)</f>
        <v>0</v>
      </c>
      <c r="O30" s="91">
        <f>+IF(AND(O3&gt;=Housing!$C$8,O3&lt;Housing!$C$10),Assumptions!$G$66/ROUNDUP((Housing!$C$9/12),0),0)</f>
        <v>0</v>
      </c>
      <c r="P30" s="91">
        <f>+IF(AND(P3&gt;=Housing!$C$8,P3&lt;Housing!$C$10),Assumptions!$G$66/ROUNDUP((Housing!$C$9/12),0),0)</f>
        <v>0</v>
      </c>
      <c r="Q30" s="91">
        <f>+IF(AND(Q3&gt;=Housing!$C$8,Q3&lt;Housing!$C$10),Assumptions!$G$66/ROUNDUP((Housing!$C$9/12),0),0)</f>
        <v>0</v>
      </c>
      <c r="R30" s="91">
        <f>+IF(AND(R3&gt;=Housing!$C$8,R3&lt;Housing!$C$10),Assumptions!$G$66/ROUNDUP((Housing!$C$9/12),0),0)</f>
        <v>0</v>
      </c>
    </row>
    <row r="31" spans="2:18">
      <c r="B31" s="123" t="s">
        <v>411</v>
      </c>
      <c r="C31" s="123"/>
      <c r="D31" s="91">
        <v>0</v>
      </c>
      <c r="E31" s="91">
        <f>E30+D31</f>
        <v>0</v>
      </c>
      <c r="F31" s="91">
        <f t="shared" ref="F31:N31" si="37">F30+E31</f>
        <v>0</v>
      </c>
      <c r="G31" s="91">
        <f t="shared" si="37"/>
        <v>0</v>
      </c>
      <c r="H31" s="91">
        <f t="shared" si="37"/>
        <v>200</v>
      </c>
      <c r="I31" s="91">
        <f t="shared" si="37"/>
        <v>200</v>
      </c>
      <c r="J31" s="91">
        <f t="shared" si="37"/>
        <v>200</v>
      </c>
      <c r="K31" s="91">
        <f t="shared" si="37"/>
        <v>200</v>
      </c>
      <c r="L31" s="91">
        <f t="shared" si="37"/>
        <v>200</v>
      </c>
      <c r="M31" s="91">
        <f t="shared" si="37"/>
        <v>200</v>
      </c>
      <c r="N31" s="91">
        <f t="shared" si="37"/>
        <v>200</v>
      </c>
      <c r="O31" s="91">
        <f t="shared" ref="O31" si="38">O30+N31</f>
        <v>200</v>
      </c>
      <c r="P31" s="91">
        <f t="shared" ref="P31" si="39">P30+O31</f>
        <v>200</v>
      </c>
      <c r="Q31" s="91">
        <f t="shared" ref="Q31" si="40">Q30+P31</f>
        <v>200</v>
      </c>
      <c r="R31" s="91">
        <f t="shared" ref="R31" si="41">R30+Q31</f>
        <v>200</v>
      </c>
    </row>
    <row r="32" spans="2:18">
      <c r="B32" s="123" t="s">
        <v>412</v>
      </c>
      <c r="C32" s="123"/>
      <c r="D32" s="85">
        <f>D31/SUM($D$30:$N$30)</f>
        <v>0</v>
      </c>
      <c r="E32" s="85">
        <f t="shared" ref="E32:N32" si="42">E31/SUM($D$30:$N$30)</f>
        <v>0</v>
      </c>
      <c r="F32" s="85">
        <f t="shared" si="42"/>
        <v>0</v>
      </c>
      <c r="G32" s="85">
        <f t="shared" si="42"/>
        <v>0</v>
      </c>
      <c r="H32" s="85">
        <f t="shared" si="42"/>
        <v>1</v>
      </c>
      <c r="I32" s="85">
        <f t="shared" si="42"/>
        <v>1</v>
      </c>
      <c r="J32" s="85">
        <f t="shared" si="42"/>
        <v>1</v>
      </c>
      <c r="K32" s="85">
        <f t="shared" si="42"/>
        <v>1</v>
      </c>
      <c r="L32" s="85">
        <f t="shared" si="42"/>
        <v>1</v>
      </c>
      <c r="M32" s="85">
        <f t="shared" si="42"/>
        <v>1</v>
      </c>
      <c r="N32" s="85">
        <f t="shared" si="42"/>
        <v>1</v>
      </c>
      <c r="O32" s="85">
        <f t="shared" ref="O32" si="43">O31/SUM($D$30:$N$30)</f>
        <v>1</v>
      </c>
      <c r="P32" s="85">
        <f t="shared" ref="P32" si="44">P31/SUM($D$30:$N$30)</f>
        <v>1</v>
      </c>
      <c r="Q32" s="85">
        <f t="shared" ref="Q32" si="45">Q31/SUM($D$30:$N$30)</f>
        <v>1</v>
      </c>
      <c r="R32" s="85">
        <f t="shared" ref="R32" si="46">R31/SUM($D$30:$N$30)</f>
        <v>1</v>
      </c>
    </row>
    <row r="33" spans="2:18">
      <c r="B33" s="123"/>
      <c r="C33" s="123"/>
    </row>
    <row r="34" spans="2:18">
      <c r="B34" s="123" t="s">
        <v>413</v>
      </c>
      <c r="C34" s="123"/>
      <c r="D34" s="51">
        <v>1</v>
      </c>
      <c r="E34" s="209">
        <f>D34*(1+Assumptions!$V$59)</f>
        <v>1.03</v>
      </c>
      <c r="F34" s="209">
        <f>E34*(1+Assumptions!$V$59)</f>
        <v>1.0609</v>
      </c>
      <c r="G34" s="209">
        <f>F34*(1+Assumptions!$V$59)</f>
        <v>1.092727</v>
      </c>
      <c r="H34" s="209">
        <f>G34*(1+Assumptions!$V$59)</f>
        <v>1.1255088100000001</v>
      </c>
      <c r="I34" s="209">
        <f>H34*(1+Assumptions!$V$59)</f>
        <v>1.1592740743000001</v>
      </c>
      <c r="J34" s="209">
        <f>I34*(1+Assumptions!$V$59)</f>
        <v>1.1940522965290001</v>
      </c>
      <c r="K34" s="209">
        <f>J34*(1+Assumptions!$V$59)</f>
        <v>1.2298738654248702</v>
      </c>
      <c r="L34" s="209">
        <f>K34*(1+Assumptions!$V$59)</f>
        <v>1.2667700813876164</v>
      </c>
      <c r="M34" s="209">
        <f>L34*(1+Assumptions!$V$59)</f>
        <v>1.3047731838292449</v>
      </c>
      <c r="N34" s="209">
        <f>M34*(1+Assumptions!$V$59)</f>
        <v>1.3439163793441222</v>
      </c>
      <c r="O34" s="209">
        <f>N34*(1+Assumptions!$V$59)</f>
        <v>1.3842338707244459</v>
      </c>
      <c r="P34" s="209">
        <f>O34*(1+Assumptions!$V$59)</f>
        <v>1.4257608868461793</v>
      </c>
      <c r="Q34" s="209">
        <f>P34*(1+Assumptions!$V$59)</f>
        <v>1.4685337134515648</v>
      </c>
      <c r="R34" s="209">
        <f>Q34*(1+Assumptions!$V$59)</f>
        <v>1.5125897248551119</v>
      </c>
    </row>
    <row r="35" spans="2:18">
      <c r="B35" s="123" t="s">
        <v>414</v>
      </c>
      <c r="C35" s="123"/>
      <c r="D35" s="51">
        <v>1</v>
      </c>
      <c r="E35" s="209">
        <f>D35*(1+Assumptions!$V$69)</f>
        <v>1.03</v>
      </c>
      <c r="F35" s="209">
        <f>E35*(1+Assumptions!$V$69)</f>
        <v>1.0609</v>
      </c>
      <c r="G35" s="209">
        <f>F35*(1+Assumptions!$V$69)</f>
        <v>1.092727</v>
      </c>
      <c r="H35" s="209">
        <f>G35*(1+Assumptions!$V$69)</f>
        <v>1.1255088100000001</v>
      </c>
      <c r="I35" s="209">
        <f>H35*(1+Assumptions!$V$69)</f>
        <v>1.1592740743000001</v>
      </c>
      <c r="J35" s="209">
        <f>I35*(1+Assumptions!$V$69)</f>
        <v>1.1940522965290001</v>
      </c>
      <c r="K35" s="209">
        <f>J35*(1+Assumptions!$V$69)</f>
        <v>1.2298738654248702</v>
      </c>
      <c r="L35" s="209">
        <f>K35*(1+Assumptions!$V$69)</f>
        <v>1.2667700813876164</v>
      </c>
      <c r="M35" s="209">
        <f>L35*(1+Assumptions!$V$69)</f>
        <v>1.3047731838292449</v>
      </c>
      <c r="N35" s="209">
        <f>M35*(1+Assumptions!$V$69)</f>
        <v>1.3439163793441222</v>
      </c>
      <c r="O35" s="209">
        <f>N35*(1+Assumptions!$V$69)</f>
        <v>1.3842338707244459</v>
      </c>
      <c r="P35" s="209">
        <f>O35*(1+Assumptions!$V$69)</f>
        <v>1.4257608868461793</v>
      </c>
      <c r="Q35" s="209">
        <f>P35*(1+Assumptions!$V$69)</f>
        <v>1.4685337134515648</v>
      </c>
      <c r="R35" s="209">
        <f>Q35*(1+Assumptions!$V$69)</f>
        <v>1.5125897248551119</v>
      </c>
    </row>
    <row r="36" spans="2:18">
      <c r="B36" s="123"/>
      <c r="C36" s="123"/>
    </row>
    <row r="37" spans="2:18">
      <c r="B37" s="123" t="s">
        <v>415</v>
      </c>
      <c r="C37" s="123"/>
      <c r="D37" s="147">
        <f ca="1">D34*D32*Assumptions!$G$64</f>
        <v>0</v>
      </c>
      <c r="E37" s="147">
        <f ca="1">E34*E32*Assumptions!$G$64</f>
        <v>0</v>
      </c>
      <c r="F37" s="147">
        <f ca="1">F34*F32*Assumptions!$G$64</f>
        <v>0</v>
      </c>
      <c r="G37" s="147">
        <f ca="1">G34*G32*Assumptions!$G$64</f>
        <v>0</v>
      </c>
      <c r="H37" s="147">
        <f ca="1">H34*H32*Assumptions!$G$64</f>
        <v>8950490.6870523393</v>
      </c>
      <c r="I37" s="147">
        <f ca="1">I34*I32*Assumptions!$G$64</f>
        <v>9219005.4076639097</v>
      </c>
      <c r="J37" s="147">
        <f ca="1">J34*J32*Assumptions!$G$64</f>
        <v>9495575.5698938258</v>
      </c>
      <c r="K37" s="147">
        <f ca="1">K34*K32*Assumptions!$G$64</f>
        <v>9780442.8369906414</v>
      </c>
      <c r="L37" s="147">
        <f ca="1">L34*L32*Assumptions!$G$64</f>
        <v>10073856.122100363</v>
      </c>
      <c r="M37" s="147">
        <f ca="1">M34*M32*Assumptions!$G$64</f>
        <v>10376071.805763373</v>
      </c>
      <c r="N37" s="147">
        <f ca="1">N34*N32*Assumptions!$G$64</f>
        <v>10687353.959936274</v>
      </c>
      <c r="O37" s="147">
        <f ca="1">O34*O32*Assumptions!$G$64</f>
        <v>11007974.578734362</v>
      </c>
      <c r="P37" s="147">
        <f ca="1">P34*P32*Assumptions!$G$64</f>
        <v>11338213.816096393</v>
      </c>
      <c r="Q37" s="147">
        <f ca="1">Q34*Q32*Assumptions!$G$64</f>
        <v>11678360.230579287</v>
      </c>
      <c r="R37" s="147">
        <f ca="1">R34*R32*Assumptions!$G$64</f>
        <v>12028711.037496665</v>
      </c>
    </row>
    <row r="38" spans="2:18">
      <c r="B38" s="123" t="s">
        <v>416</v>
      </c>
      <c r="C38" s="123"/>
      <c r="D38" s="147">
        <f ca="1">-D37*Assumptions!$V$51</f>
        <v>0</v>
      </c>
      <c r="E38" s="147">
        <f ca="1">-E37*Assumptions!$V$51</f>
        <v>0</v>
      </c>
      <c r="F38" s="147">
        <f ca="1">-F37*Assumptions!$V$51</f>
        <v>0</v>
      </c>
      <c r="G38" s="147">
        <f ca="1">-G37*Assumptions!$V$51</f>
        <v>0</v>
      </c>
      <c r="H38" s="147">
        <f ca="1">-H37*Assumptions!$V$51</f>
        <v>-447524.53435261699</v>
      </c>
      <c r="I38" s="147">
        <f ca="1">-I37*Assumptions!$V$51</f>
        <v>-460950.27038319549</v>
      </c>
      <c r="J38" s="147">
        <f ca="1">-J37*Assumptions!$V$51</f>
        <v>-474778.7784946913</v>
      </c>
      <c r="K38" s="147">
        <f ca="1">-K37*Assumptions!$V$51</f>
        <v>-489022.14184953208</v>
      </c>
      <c r="L38" s="147">
        <f ca="1">-L37*Assumptions!$V$51</f>
        <v>-503692.80610501813</v>
      </c>
      <c r="M38" s="147">
        <f ca="1">-M37*Assumptions!$V$51</f>
        <v>-518803.59028816869</v>
      </c>
      <c r="N38" s="147">
        <f ca="1">-N37*Assumptions!$V$51</f>
        <v>-534367.69799681369</v>
      </c>
      <c r="O38" s="147">
        <f ca="1">-O37*Assumptions!$V$51</f>
        <v>-550398.72893671819</v>
      </c>
      <c r="P38" s="147">
        <f ca="1">-P37*Assumptions!$V$51</f>
        <v>-566910.69080481969</v>
      </c>
      <c r="Q38" s="147">
        <f ca="1">-Q37*Assumptions!$V$51</f>
        <v>-583918.01152896439</v>
      </c>
      <c r="R38" s="147">
        <f ca="1">-R37*Assumptions!$V$51</f>
        <v>-601435.5518748333</v>
      </c>
    </row>
    <row r="39" spans="2:18">
      <c r="B39" s="128" t="s">
        <v>417</v>
      </c>
      <c r="C39" s="128"/>
      <c r="D39" s="147">
        <f ca="1">D38+D37</f>
        <v>0</v>
      </c>
      <c r="E39" s="147">
        <f ca="1">E38+E37</f>
        <v>0</v>
      </c>
      <c r="F39" s="147">
        <f ca="1">F38+F37</f>
        <v>0</v>
      </c>
      <c r="G39" s="147">
        <f ca="1">G38+G37</f>
        <v>0</v>
      </c>
      <c r="H39" s="147">
        <f ca="1">H38+H37</f>
        <v>8502966.152699722</v>
      </c>
      <c r="I39" s="147">
        <f ca="1">I38+I37</f>
        <v>8758055.1372807138</v>
      </c>
      <c r="J39" s="147">
        <f ca="1">J38+J37</f>
        <v>9020796.7913991343</v>
      </c>
      <c r="K39" s="147">
        <f ca="1">K38+K37</f>
        <v>9291420.6951411087</v>
      </c>
      <c r="L39" s="147">
        <f ca="1">L38+L37</f>
        <v>9570163.3159953449</v>
      </c>
      <c r="M39" s="147">
        <f ca="1">M38+M37</f>
        <v>9857268.2154752053</v>
      </c>
      <c r="N39" s="147">
        <f ca="1">N38+N37</f>
        <v>10152986.26193946</v>
      </c>
      <c r="O39" s="147">
        <f t="shared" ref="O39:R39" ca="1" si="47">O38+O37</f>
        <v>10457575.849797644</v>
      </c>
      <c r="P39" s="147">
        <f t="shared" ca="1" si="47"/>
        <v>10771303.125291573</v>
      </c>
      <c r="Q39" s="147">
        <f t="shared" ca="1" si="47"/>
        <v>11094442.219050322</v>
      </c>
      <c r="R39" s="147">
        <f t="shared" ca="1" si="47"/>
        <v>11427275.485621832</v>
      </c>
    </row>
    <row r="40" spans="2:18">
      <c r="B40" s="128"/>
      <c r="C40" s="128"/>
      <c r="D40" s="138"/>
      <c r="E40" s="138"/>
      <c r="F40" s="138"/>
      <c r="G40" s="138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</row>
    <row r="41" spans="2:18">
      <c r="B41" s="128" t="s">
        <v>418</v>
      </c>
      <c r="C41" s="128"/>
      <c r="D41" s="147">
        <f ca="1">D39*(1-D43)</f>
        <v>0</v>
      </c>
      <c r="E41" s="147">
        <f t="shared" ref="E41:N41" ca="1" si="48">E39*(1-E43)</f>
        <v>0</v>
      </c>
      <c r="F41" s="147">
        <f t="shared" ca="1" si="48"/>
        <v>0</v>
      </c>
      <c r="G41" s="147">
        <f t="shared" ca="1" si="48"/>
        <v>0</v>
      </c>
      <c r="H41" s="147">
        <f t="shared" ca="1" si="48"/>
        <v>2976038.1534449025</v>
      </c>
      <c r="I41" s="147">
        <f t="shared" ca="1" si="48"/>
        <v>3065319.2980482494</v>
      </c>
      <c r="J41" s="147">
        <f t="shared" ca="1" si="48"/>
        <v>3157278.8769896966</v>
      </c>
      <c r="K41" s="147">
        <f t="shared" ca="1" si="48"/>
        <v>3251997.2432993879</v>
      </c>
      <c r="L41" s="147">
        <f t="shared" ca="1" si="48"/>
        <v>3349557.1605983707</v>
      </c>
      <c r="M41" s="147">
        <f t="shared" ca="1" si="48"/>
        <v>3450043.8754163217</v>
      </c>
      <c r="N41" s="147">
        <f t="shared" ca="1" si="48"/>
        <v>3553545.1916788109</v>
      </c>
      <c r="O41" s="147">
        <f t="shared" ref="O41:R41" ca="1" si="49">O39*(1-O43)</f>
        <v>3660151.5474291751</v>
      </c>
      <c r="P41" s="147">
        <f t="shared" ca="1" si="49"/>
        <v>3769956.0938520501</v>
      </c>
      <c r="Q41" s="147">
        <f t="shared" ca="1" si="49"/>
        <v>3883054.7766676121</v>
      </c>
      <c r="R41" s="147">
        <f t="shared" ca="1" si="49"/>
        <v>3999546.4199676411</v>
      </c>
    </row>
    <row r="42" spans="2:18">
      <c r="B42" s="128"/>
      <c r="C42" s="128"/>
      <c r="D42" s="138"/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</row>
    <row r="43" spans="2:18">
      <c r="B43" s="123" t="s">
        <v>419</v>
      </c>
      <c r="C43" s="123"/>
      <c r="D43" s="85">
        <f>Assumptions!$V$81</f>
        <v>0.65</v>
      </c>
      <c r="E43" s="85">
        <f>Assumptions!$V$81</f>
        <v>0.65</v>
      </c>
      <c r="F43" s="85">
        <f>Assumptions!$V$81</f>
        <v>0.65</v>
      </c>
      <c r="G43" s="85">
        <f>Assumptions!$V$81</f>
        <v>0.65</v>
      </c>
      <c r="H43" s="85">
        <f>Assumptions!$V$81</f>
        <v>0.65</v>
      </c>
      <c r="I43" s="85">
        <f>Assumptions!$V$81</f>
        <v>0.65</v>
      </c>
      <c r="J43" s="85">
        <f>Assumptions!$V$81</f>
        <v>0.65</v>
      </c>
      <c r="K43" s="85">
        <f>Assumptions!$V$81</f>
        <v>0.65</v>
      </c>
      <c r="L43" s="85">
        <f>Assumptions!$V$81</f>
        <v>0.65</v>
      </c>
      <c r="M43" s="85">
        <f>Assumptions!$V$81</f>
        <v>0.65</v>
      </c>
      <c r="N43" s="85">
        <f>Assumptions!$V$81</f>
        <v>0.65</v>
      </c>
      <c r="O43" s="85">
        <f>Assumptions!$V$81</f>
        <v>0.65</v>
      </c>
      <c r="P43" s="85">
        <f>Assumptions!$V$81</f>
        <v>0.65</v>
      </c>
      <c r="Q43" s="85">
        <f>Assumptions!$V$81</f>
        <v>0.65</v>
      </c>
      <c r="R43" s="85">
        <f>Assumptions!$V$81</f>
        <v>0.65</v>
      </c>
    </row>
    <row r="44" spans="2:18" ht="17.100000000000001" thickBot="1">
      <c r="B44" s="123"/>
      <c r="C44" s="123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</row>
    <row r="45" spans="2:18" ht="17.100000000000001" thickBot="1">
      <c r="B45" s="315" t="s">
        <v>420</v>
      </c>
      <c r="C45" s="316"/>
      <c r="D45" s="289">
        <f ca="1">D43*D39</f>
        <v>0</v>
      </c>
      <c r="E45" s="289">
        <f t="shared" ref="E45:N45" ca="1" si="50">E43*E39</f>
        <v>0</v>
      </c>
      <c r="F45" s="289">
        <f t="shared" ca="1" si="50"/>
        <v>0</v>
      </c>
      <c r="G45" s="289">
        <f t="shared" ca="1" si="50"/>
        <v>0</v>
      </c>
      <c r="H45" s="289">
        <f t="shared" ca="1" si="50"/>
        <v>5526927.9992548199</v>
      </c>
      <c r="I45" s="289">
        <f t="shared" ca="1" si="50"/>
        <v>5692735.8392324643</v>
      </c>
      <c r="J45" s="289">
        <f t="shared" ca="1" si="50"/>
        <v>5863517.9144094372</v>
      </c>
      <c r="K45" s="289">
        <f t="shared" ca="1" si="50"/>
        <v>6039423.4518417213</v>
      </c>
      <c r="L45" s="289">
        <f t="shared" ca="1" si="50"/>
        <v>6220606.1553969746</v>
      </c>
      <c r="M45" s="289">
        <f t="shared" ca="1" si="50"/>
        <v>6407224.3400588837</v>
      </c>
      <c r="N45" s="289">
        <f t="shared" ca="1" si="50"/>
        <v>6599441.0702606495</v>
      </c>
      <c r="O45" s="289">
        <f t="shared" ref="O45:R45" ca="1" si="51">O43*O39</f>
        <v>6797424.3023684686</v>
      </c>
      <c r="P45" s="289">
        <f t="shared" ca="1" si="51"/>
        <v>7001347.0314395223</v>
      </c>
      <c r="Q45" s="289">
        <f t="shared" ca="1" si="51"/>
        <v>7211387.4423827091</v>
      </c>
      <c r="R45" s="290">
        <f t="shared" ca="1" si="51"/>
        <v>7427729.0656541912</v>
      </c>
    </row>
    <row r="46" spans="2:18">
      <c r="B46" s="127" t="s">
        <v>421</v>
      </c>
      <c r="C46" s="127"/>
      <c r="D46" s="147">
        <f ca="1">D45/Assumptions!$V$90</f>
        <v>0</v>
      </c>
      <c r="E46" s="147">
        <f ca="1">E45/Assumptions!$V$90</f>
        <v>0</v>
      </c>
      <c r="F46" s="147">
        <f ca="1">F45/Assumptions!$V$90</f>
        <v>0</v>
      </c>
      <c r="G46" s="147">
        <f ca="1">G45/Assumptions!$V$90</f>
        <v>0</v>
      </c>
      <c r="H46" s="147">
        <f ca="1">H45/Assumptions!$V$90</f>
        <v>138173199.98137051</v>
      </c>
      <c r="I46" s="147">
        <f ca="1">I45/Assumptions!$V$90</f>
        <v>142318395.9808116</v>
      </c>
      <c r="J46" s="147">
        <f ca="1">J45/Assumptions!$V$90</f>
        <v>146587947.86023593</v>
      </c>
      <c r="K46" s="147">
        <f ca="1">K45/Assumptions!$V$90</f>
        <v>150985586.29604304</v>
      </c>
      <c r="L46" s="147">
        <f ca="1">L45/Assumptions!$V$90</f>
        <v>155515153.88492435</v>
      </c>
      <c r="M46" s="147">
        <f ca="1">M45/Assumptions!$V$90</f>
        <v>160180608.50147209</v>
      </c>
      <c r="N46" s="147">
        <f ca="1">N45/Assumptions!$V$90</f>
        <v>164986026.75651625</v>
      </c>
      <c r="O46" s="147">
        <f ca="1">O45/Assumptions!$V$90</f>
        <v>169935607.5592117</v>
      </c>
      <c r="P46" s="147">
        <f ca="1">P45/Assumptions!$V$90</f>
        <v>175033675.78598806</v>
      </c>
      <c r="Q46" s="147">
        <f ca="1">Q45/Assumptions!$V$90</f>
        <v>180284686.05956772</v>
      </c>
      <c r="R46" s="147">
        <f ca="1">R45/Assumptions!$V$90</f>
        <v>185693226.64135477</v>
      </c>
    </row>
    <row r="47" spans="2:18">
      <c r="B47" s="127"/>
      <c r="C47" s="127"/>
      <c r="D47" s="138"/>
      <c r="E47" s="138"/>
      <c r="F47" s="138"/>
      <c r="G47" s="138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</row>
    <row r="48" spans="2:18">
      <c r="B48" s="282"/>
      <c r="C48" s="282"/>
      <c r="D48" s="279">
        <f>D25</f>
        <v>2022</v>
      </c>
      <c r="E48" s="279">
        <f>E25</f>
        <v>2023</v>
      </c>
      <c r="F48" s="279">
        <f>F25</f>
        <v>2024</v>
      </c>
      <c r="G48" s="279">
        <f>G25</f>
        <v>2025</v>
      </c>
      <c r="H48" s="279">
        <f>H25</f>
        <v>2026</v>
      </c>
      <c r="I48" s="279">
        <f>I25</f>
        <v>2027</v>
      </c>
      <c r="J48" s="279">
        <f>J25</f>
        <v>2028</v>
      </c>
      <c r="K48" s="279">
        <f>K25</f>
        <v>2029</v>
      </c>
      <c r="L48" s="279">
        <f>L25</f>
        <v>2030</v>
      </c>
      <c r="M48" s="279">
        <f>M25</f>
        <v>2031</v>
      </c>
      <c r="N48" s="279">
        <f>N25</f>
        <v>2032</v>
      </c>
      <c r="O48" s="279">
        <f t="shared" ref="O48:R48" si="52">O25</f>
        <v>2033</v>
      </c>
      <c r="P48" s="279">
        <f t="shared" si="52"/>
        <v>2034</v>
      </c>
      <c r="Q48" s="279">
        <f t="shared" si="52"/>
        <v>2035</v>
      </c>
      <c r="R48" s="279">
        <f t="shared" si="52"/>
        <v>2036</v>
      </c>
    </row>
    <row r="49" spans="2:18" ht="18">
      <c r="B49" s="302" t="s">
        <v>124</v>
      </c>
      <c r="C49" s="283"/>
      <c r="D49" s="281">
        <f>D26</f>
        <v>44926</v>
      </c>
      <c r="E49" s="281">
        <f>E26</f>
        <v>45291</v>
      </c>
      <c r="F49" s="281">
        <f>F26</f>
        <v>45657</v>
      </c>
      <c r="G49" s="281">
        <f>G26</f>
        <v>46022</v>
      </c>
      <c r="H49" s="281">
        <f>H26</f>
        <v>46387</v>
      </c>
      <c r="I49" s="281">
        <f>I26</f>
        <v>46752</v>
      </c>
      <c r="J49" s="281">
        <f>J26</f>
        <v>47118</v>
      </c>
      <c r="K49" s="281">
        <f>K26</f>
        <v>47483</v>
      </c>
      <c r="L49" s="281">
        <f>L26</f>
        <v>47848</v>
      </c>
      <c r="M49" s="281">
        <f>M26</f>
        <v>48213</v>
      </c>
      <c r="N49" s="281">
        <f>N26</f>
        <v>48579</v>
      </c>
      <c r="O49" s="281">
        <f t="shared" ref="O49:R49" si="53">O26</f>
        <v>48944</v>
      </c>
      <c r="P49" s="281">
        <f t="shared" si="53"/>
        <v>49309</v>
      </c>
      <c r="Q49" s="281">
        <f t="shared" si="53"/>
        <v>49674</v>
      </c>
      <c r="R49" s="281">
        <f t="shared" si="53"/>
        <v>50040</v>
      </c>
    </row>
    <row r="50" spans="2:18">
      <c r="B50" s="134"/>
      <c r="C50" s="134"/>
    </row>
    <row r="51" spans="2:18">
      <c r="B51" s="123" t="s">
        <v>422</v>
      </c>
      <c r="C51" s="123"/>
      <c r="D51" s="91">
        <f>+IF(AND(D49&gt;=Assumptions!$M$86,D49&lt;Assumptions!$M$88),Assumptions!$G$87/ROUNDUP((Assumptions!$M$87/12),0),0)</f>
        <v>0</v>
      </c>
      <c r="E51" s="91">
        <f>+IF(AND(E49&gt;=Assumptions!$M$86,E49&lt;Assumptions!$M$88),Assumptions!$G$87/ROUNDUP((Assumptions!$M$87/12),0),0)</f>
        <v>0</v>
      </c>
      <c r="F51" s="91">
        <f>+IF(AND(F49&gt;=Assumptions!$M$86,F49&lt;Assumptions!$M$88),Assumptions!$G$87/ROUNDUP((Assumptions!$M$87/12),0),0)</f>
        <v>0</v>
      </c>
      <c r="G51" s="91">
        <f>+IF(AND(G49&gt;=Assumptions!$M$86,G49&lt;Assumptions!$M$88),Assumptions!$G$87/ROUNDUP((Assumptions!$M$87/12),0),0)</f>
        <v>0</v>
      </c>
      <c r="H51" s="91">
        <f>+IF(AND(H49&gt;=Assumptions!$M$86,H49&lt;Assumptions!$M$88),Assumptions!$G$87/ROUNDUP((Assumptions!$M$87/12),0),0)</f>
        <v>90000</v>
      </c>
      <c r="I51" s="91">
        <f>+IF(AND(I49&gt;=Assumptions!$M$86,I49&lt;Assumptions!$M$88),Assumptions!$G$87/ROUNDUP((Assumptions!$M$87/12),0),0)</f>
        <v>90000</v>
      </c>
      <c r="J51" s="91">
        <f>+IF(AND(J49&gt;=Assumptions!$M$86,J49&lt;Assumptions!$M$88),Assumptions!$G$87/ROUNDUP((Assumptions!$M$87/12),0),0)</f>
        <v>0</v>
      </c>
      <c r="K51" s="91">
        <f>+IF(AND(K49&gt;=Assumptions!$M$86,K49&lt;Assumptions!$M$88),Assumptions!$G$87/ROUNDUP((Assumptions!$M$87/12),0),0)</f>
        <v>0</v>
      </c>
      <c r="L51" s="91">
        <f>+IF(AND(L49&gt;=Assumptions!$M$86,L49&lt;Assumptions!$M$88),Assumptions!$G$87/ROUNDUP((Assumptions!$M$87/12),0),0)</f>
        <v>0</v>
      </c>
      <c r="M51" s="91">
        <f>+IF(AND(M49&gt;=Assumptions!$M$86,M49&lt;Assumptions!$M$88),Assumptions!$G$87/ROUNDUP((Assumptions!$M$87/12),0),0)</f>
        <v>0</v>
      </c>
      <c r="N51" s="91">
        <f>+IF(AND(N49&gt;=Assumptions!$M$86,N49&lt;Assumptions!$M$88),Assumptions!$G$87/ROUNDUP((Assumptions!$M$87/12),0),0)</f>
        <v>0</v>
      </c>
      <c r="O51" s="91">
        <f>+IF(AND(O49&gt;=Assumptions!$M$86,O49&lt;Assumptions!$M$88),Assumptions!$G$87/ROUNDUP((Assumptions!$M$87/12),0),0)</f>
        <v>0</v>
      </c>
      <c r="P51" s="91">
        <f>+IF(AND(P49&gt;=Assumptions!$M$86,P49&lt;Assumptions!$M$88),Assumptions!$G$87/ROUNDUP((Assumptions!$M$87/12),0),0)</f>
        <v>0</v>
      </c>
      <c r="Q51" s="91">
        <f>+IF(AND(Q49&gt;=Assumptions!$M$86,Q49&lt;Assumptions!$M$88),Assumptions!$G$87/ROUNDUP((Assumptions!$M$87/12),0),0)</f>
        <v>0</v>
      </c>
      <c r="R51" s="91">
        <f>+IF(AND(R49&gt;=Assumptions!$M$86,R49&lt;Assumptions!$M$88),Assumptions!$G$87/ROUNDUP((Assumptions!$M$87/12),0),0)</f>
        <v>0</v>
      </c>
    </row>
    <row r="52" spans="2:18">
      <c r="B52" s="123" t="s">
        <v>423</v>
      </c>
      <c r="C52" s="123"/>
      <c r="D52" s="91">
        <v>0</v>
      </c>
      <c r="E52" s="91">
        <f>D52+E51</f>
        <v>0</v>
      </c>
      <c r="F52" s="91">
        <f t="shared" ref="F52:N52" si="54">E52+F51</f>
        <v>0</v>
      </c>
      <c r="G52" s="91">
        <f t="shared" si="54"/>
        <v>0</v>
      </c>
      <c r="H52" s="91">
        <f t="shared" si="54"/>
        <v>90000</v>
      </c>
      <c r="I52" s="91">
        <f t="shared" si="54"/>
        <v>180000</v>
      </c>
      <c r="J52" s="91">
        <f t="shared" si="54"/>
        <v>180000</v>
      </c>
      <c r="K52" s="91">
        <f t="shared" si="54"/>
        <v>180000</v>
      </c>
      <c r="L52" s="91">
        <f t="shared" si="54"/>
        <v>180000</v>
      </c>
      <c r="M52" s="91">
        <f t="shared" si="54"/>
        <v>180000</v>
      </c>
      <c r="N52" s="91">
        <f t="shared" si="54"/>
        <v>180000</v>
      </c>
      <c r="O52" s="91">
        <f t="shared" ref="O52" si="55">N52+O51</f>
        <v>180000</v>
      </c>
      <c r="P52" s="91">
        <f t="shared" ref="P52" si="56">O52+P51</f>
        <v>180000</v>
      </c>
      <c r="Q52" s="91">
        <f t="shared" ref="Q52" si="57">P52+Q51</f>
        <v>180000</v>
      </c>
      <c r="R52" s="91">
        <f t="shared" ref="R52" si="58">Q52+R51</f>
        <v>180000</v>
      </c>
    </row>
    <row r="53" spans="2:18">
      <c r="B53" s="123" t="s">
        <v>412</v>
      </c>
      <c r="C53" s="123"/>
      <c r="D53" s="85">
        <f>D52/SUM($D$51:$N$51)</f>
        <v>0</v>
      </c>
      <c r="E53" s="85">
        <f t="shared" ref="E53:N53" si="59">E52/SUM($D$51:$N$51)</f>
        <v>0</v>
      </c>
      <c r="F53" s="85">
        <f t="shared" si="59"/>
        <v>0</v>
      </c>
      <c r="G53" s="85">
        <f t="shared" si="59"/>
        <v>0</v>
      </c>
      <c r="H53" s="85">
        <f t="shared" si="59"/>
        <v>0.5</v>
      </c>
      <c r="I53" s="85">
        <f t="shared" si="59"/>
        <v>1</v>
      </c>
      <c r="J53" s="85">
        <f t="shared" si="59"/>
        <v>1</v>
      </c>
      <c r="K53" s="85">
        <f t="shared" si="59"/>
        <v>1</v>
      </c>
      <c r="L53" s="85">
        <f t="shared" si="59"/>
        <v>1</v>
      </c>
      <c r="M53" s="85">
        <f t="shared" si="59"/>
        <v>1</v>
      </c>
      <c r="N53" s="85">
        <f t="shared" si="59"/>
        <v>1</v>
      </c>
      <c r="O53" s="85">
        <f t="shared" ref="O53" si="60">O52/SUM($D$51:$N$51)</f>
        <v>1</v>
      </c>
      <c r="P53" s="85">
        <f t="shared" ref="P53" si="61">P52/SUM($D$51:$N$51)</f>
        <v>1</v>
      </c>
      <c r="Q53" s="85">
        <f t="shared" ref="Q53" si="62">Q52/SUM($D$51:$N$51)</f>
        <v>1</v>
      </c>
      <c r="R53" s="85">
        <f t="shared" ref="R53" si="63">R52/SUM($D$51:$N$51)</f>
        <v>1</v>
      </c>
    </row>
    <row r="54" spans="2:18">
      <c r="B54" s="123"/>
      <c r="C54" s="123"/>
    </row>
    <row r="55" spans="2:18">
      <c r="B55" s="123" t="s">
        <v>413</v>
      </c>
      <c r="C55" s="123"/>
      <c r="D55" s="51">
        <v>1</v>
      </c>
      <c r="E55" s="85">
        <f>D55*(1+Assumptions!$V$62/Assumptions!$V$63)</f>
        <v>1.0333333333333334</v>
      </c>
      <c r="F55" s="85">
        <f>E55*(1+Assumptions!$V$62/Assumptions!$V$63)</f>
        <v>1.0677777777777779</v>
      </c>
      <c r="G55" s="85">
        <f>F55*(1+Assumptions!$V$62/Assumptions!$V$63)</f>
        <v>1.1033703703703706</v>
      </c>
      <c r="H55" s="85">
        <f>G55*(1+Assumptions!$V$62/Assumptions!$V$63)</f>
        <v>1.1401493827160496</v>
      </c>
      <c r="I55" s="85">
        <f>H55*(1+Assumptions!$V$62/Assumptions!$V$63)</f>
        <v>1.178154362139918</v>
      </c>
      <c r="J55" s="85">
        <f>I55*(1+Assumptions!$V$62/Assumptions!$V$63)</f>
        <v>1.2174261742112487</v>
      </c>
      <c r="K55" s="85">
        <f>J55*(1+Assumptions!$V$62/Assumptions!$V$63)</f>
        <v>1.2580070466849571</v>
      </c>
      <c r="L55" s="85">
        <f>K55*(1+Assumptions!$V$62/Assumptions!$V$63)</f>
        <v>1.2999406149077892</v>
      </c>
      <c r="M55" s="85">
        <f>L55*(1+Assumptions!$V$62/Assumptions!$V$63)</f>
        <v>1.343271968738049</v>
      </c>
      <c r="N55" s="85">
        <f>M55*(1+Assumptions!$V$62/Assumptions!$V$63)</f>
        <v>1.3880477010293175</v>
      </c>
      <c r="O55" s="85">
        <f>N55*(1+Assumptions!$V$62/Assumptions!$V$63)</f>
        <v>1.4343159577302949</v>
      </c>
      <c r="P55" s="85">
        <f>O55*(1+Assumptions!$V$62/Assumptions!$V$63)</f>
        <v>1.4821264896546382</v>
      </c>
      <c r="Q55" s="85">
        <f>P55*(1+Assumptions!$V$62/Assumptions!$V$63)</f>
        <v>1.5315307059764596</v>
      </c>
      <c r="R55" s="85">
        <f>Q55*(1+Assumptions!$V$62/Assumptions!$V$63)</f>
        <v>1.5825817295090083</v>
      </c>
    </row>
    <row r="56" spans="2:18">
      <c r="B56" s="123" t="s">
        <v>414</v>
      </c>
      <c r="C56" s="123"/>
      <c r="D56" s="51">
        <v>1</v>
      </c>
      <c r="E56" s="51">
        <f>D56*(1+Assumptions!$V$71)</f>
        <v>1.03</v>
      </c>
      <c r="F56" s="51">
        <f>E56*(1+Assumptions!$V$71)</f>
        <v>1.0609</v>
      </c>
      <c r="G56" s="51">
        <f>F56*(1+Assumptions!$V$71)</f>
        <v>1.092727</v>
      </c>
      <c r="H56" s="51">
        <f>G56*(1+Assumptions!$V$71)</f>
        <v>1.1255088100000001</v>
      </c>
      <c r="I56" s="51">
        <f>H56*(1+Assumptions!$V$71)</f>
        <v>1.1592740743000001</v>
      </c>
      <c r="J56" s="51">
        <f>I56*(1+Assumptions!$V$71)</f>
        <v>1.1940522965290001</v>
      </c>
      <c r="K56" s="51">
        <f>J56*(1+Assumptions!$V$71)</f>
        <v>1.2298738654248702</v>
      </c>
      <c r="L56" s="51">
        <f>K56*(1+Assumptions!$V$71)</f>
        <v>1.2667700813876164</v>
      </c>
      <c r="M56" s="51">
        <f>L56*(1+Assumptions!$V$71)</f>
        <v>1.3047731838292449</v>
      </c>
      <c r="N56" s="51">
        <f>M56*(1+Assumptions!$V$71)</f>
        <v>1.3439163793441222</v>
      </c>
      <c r="O56" s="51">
        <f>N56*(1+Assumptions!$V$71)</f>
        <v>1.3842338707244459</v>
      </c>
      <c r="P56" s="51">
        <f>O56*(1+Assumptions!$V$71)</f>
        <v>1.4257608868461793</v>
      </c>
      <c r="Q56" s="51">
        <f>P56*(1+Assumptions!$V$71)</f>
        <v>1.4685337134515648</v>
      </c>
      <c r="R56" s="51">
        <f>Q56*(1+Assumptions!$V$71)</f>
        <v>1.5125897248551119</v>
      </c>
    </row>
    <row r="57" spans="2:18">
      <c r="B57" s="123"/>
      <c r="C57" s="123"/>
    </row>
    <row r="58" spans="2:18">
      <c r="B58" s="123" t="s">
        <v>415</v>
      </c>
      <c r="C58" s="123"/>
      <c r="D58" s="147">
        <f ca="1">D55*D53*Assumptions!$G$86</f>
        <v>0</v>
      </c>
      <c r="E58" s="147">
        <f ca="1">E55*E53*Assumptions!$G$86</f>
        <v>0</v>
      </c>
      <c r="F58" s="147">
        <f ca="1">F55*F53*Assumptions!$G$86</f>
        <v>0</v>
      </c>
      <c r="G58" s="147">
        <f ca="1">G55*G53*Assumptions!$G$86</f>
        <v>0</v>
      </c>
      <c r="H58" s="147">
        <f ca="1">H55*H53*Assumptions!$G$86</f>
        <v>4412889.0669455901</v>
      </c>
      <c r="I58" s="147">
        <f ca="1">I55*I53*Assumptions!$G$86</f>
        <v>9119970.738354221</v>
      </c>
      <c r="J58" s="147">
        <f ca="1">J55*J53*Assumptions!$G$86</f>
        <v>9423969.7629660275</v>
      </c>
      <c r="K58" s="147">
        <f ca="1">K55*K53*Assumptions!$G$86</f>
        <v>9738102.0883982312</v>
      </c>
      <c r="L58" s="147">
        <f ca="1">L55*L53*Assumptions!$G$86</f>
        <v>10062705.491344839</v>
      </c>
      <c r="M58" s="147">
        <f ca="1">M55*M53*Assumptions!$G$86</f>
        <v>10398129.007723002</v>
      </c>
      <c r="N58" s="147">
        <f ca="1">N55*N53*Assumptions!$G$86</f>
        <v>10744733.307980437</v>
      </c>
      <c r="O58" s="147">
        <f ca="1">O55*O53*Assumptions!$G$86</f>
        <v>11102891.08491312</v>
      </c>
      <c r="P58" s="147">
        <f ca="1">P55*P53*Assumptions!$G$86</f>
        <v>11472987.454410225</v>
      </c>
      <c r="Q58" s="147">
        <f ca="1">Q55*Q53*Assumptions!$G$86</f>
        <v>11855420.369557234</v>
      </c>
      <c r="R58" s="147">
        <f ca="1">R55*R53*Assumptions!$G$86</f>
        <v>12250601.048542475</v>
      </c>
    </row>
    <row r="59" spans="2:18">
      <c r="B59" s="123" t="s">
        <v>416</v>
      </c>
      <c r="C59" s="123"/>
      <c r="D59" s="147">
        <f ca="1">-D58*Assumptions!$V$53</f>
        <v>0</v>
      </c>
      <c r="E59" s="147">
        <f ca="1">-E58*Assumptions!$V$53</f>
        <v>0</v>
      </c>
      <c r="F59" s="147">
        <f ca="1">-F58*Assumptions!$V$53</f>
        <v>0</v>
      </c>
      <c r="G59" s="147">
        <f ca="1">-G58*Assumptions!$V$53</f>
        <v>0</v>
      </c>
      <c r="H59" s="147">
        <f ca="1">-H58*Assumptions!$V$53</f>
        <v>-353031.12535564724</v>
      </c>
      <c r="I59" s="147">
        <f ca="1">-I58*Assumptions!$V$53</f>
        <v>-729597.65906833764</v>
      </c>
      <c r="J59" s="147">
        <f ca="1">-J58*Assumptions!$V$53</f>
        <v>-753917.58103728225</v>
      </c>
      <c r="K59" s="147">
        <f ca="1">-K58*Assumptions!$V$53</f>
        <v>-779048.16707185854</v>
      </c>
      <c r="L59" s="147">
        <f ca="1">-L58*Assumptions!$V$53</f>
        <v>-805016.43930758722</v>
      </c>
      <c r="M59" s="147">
        <f ca="1">-M58*Assumptions!$V$53</f>
        <v>-831850.32061784016</v>
      </c>
      <c r="N59" s="147">
        <f ca="1">-N58*Assumptions!$V$53</f>
        <v>-859578.664638435</v>
      </c>
      <c r="O59" s="147">
        <f ca="1">-O58*Assumptions!$V$53</f>
        <v>-888231.28679304954</v>
      </c>
      <c r="P59" s="147">
        <f ca="1">-P58*Assumptions!$V$53</f>
        <v>-917838.99635281798</v>
      </c>
      <c r="Q59" s="147">
        <f ca="1">-Q58*Assumptions!$V$53</f>
        <v>-948433.62956457864</v>
      </c>
      <c r="R59" s="147">
        <f ca="1">-R58*Assumptions!$V$53</f>
        <v>-980048.0838833981</v>
      </c>
    </row>
    <row r="60" spans="2:18">
      <c r="B60" s="128" t="s">
        <v>417</v>
      </c>
      <c r="C60" s="128"/>
      <c r="D60" s="147">
        <f ca="1">D59+D58</f>
        <v>0</v>
      </c>
      <c r="E60" s="147">
        <f t="shared" ref="E60:N60" ca="1" si="64">E59+E58</f>
        <v>0</v>
      </c>
      <c r="F60" s="147">
        <f t="shared" ca="1" si="64"/>
        <v>0</v>
      </c>
      <c r="G60" s="147">
        <f t="shared" ca="1" si="64"/>
        <v>0</v>
      </c>
      <c r="H60" s="147">
        <f t="shared" ca="1" si="64"/>
        <v>4059857.9415899427</v>
      </c>
      <c r="I60" s="147">
        <f t="shared" ca="1" si="64"/>
        <v>8390373.0792858824</v>
      </c>
      <c r="J60" s="147">
        <f t="shared" ca="1" si="64"/>
        <v>8670052.1819287445</v>
      </c>
      <c r="K60" s="147">
        <f t="shared" ca="1" si="64"/>
        <v>8959053.9213263728</v>
      </c>
      <c r="L60" s="147">
        <f t="shared" ca="1" si="64"/>
        <v>9257689.0520372521</v>
      </c>
      <c r="M60" s="147">
        <f t="shared" ca="1" si="64"/>
        <v>9566278.6871051621</v>
      </c>
      <c r="N60" s="147">
        <f t="shared" ca="1" si="64"/>
        <v>9885154.6433420014</v>
      </c>
      <c r="O60" s="147">
        <f t="shared" ref="O60" ca="1" si="65">O59+O58</f>
        <v>10214659.79812007</v>
      </c>
      <c r="P60" s="147">
        <f t="shared" ref="P60" ca="1" si="66">P59+P58</f>
        <v>10555148.458057407</v>
      </c>
      <c r="Q60" s="147">
        <f t="shared" ref="Q60" ca="1" si="67">Q59+Q58</f>
        <v>10906986.739992656</v>
      </c>
      <c r="R60" s="147">
        <f t="shared" ref="R60" ca="1" si="68">R59+R58</f>
        <v>11270552.964659078</v>
      </c>
    </row>
    <row r="61" spans="2:18">
      <c r="B61" s="128"/>
      <c r="C61" s="128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</row>
    <row r="62" spans="2:18">
      <c r="B62" s="128" t="s">
        <v>418</v>
      </c>
      <c r="C62" s="128"/>
      <c r="D62" s="147">
        <f ca="1">D60*(1-D64)</f>
        <v>0</v>
      </c>
      <c r="E62" s="147">
        <f t="shared" ref="E62:N62" ca="1" si="69">E60*(1-E64)</f>
        <v>0</v>
      </c>
      <c r="F62" s="147">
        <f t="shared" ca="1" si="69"/>
        <v>0</v>
      </c>
      <c r="G62" s="147">
        <f t="shared" ca="1" si="69"/>
        <v>0</v>
      </c>
      <c r="H62" s="147">
        <f t="shared" ca="1" si="69"/>
        <v>121795.73824769839</v>
      </c>
      <c r="I62" s="147">
        <f t="shared" ca="1" si="69"/>
        <v>251711.1923785767</v>
      </c>
      <c r="J62" s="147">
        <f t="shared" ca="1" si="69"/>
        <v>260101.56545786257</v>
      </c>
      <c r="K62" s="147">
        <f t="shared" ca="1" si="69"/>
        <v>268771.6176397914</v>
      </c>
      <c r="L62" s="147">
        <f t="shared" ca="1" si="69"/>
        <v>277730.67156111781</v>
      </c>
      <c r="M62" s="147">
        <f t="shared" ca="1" si="69"/>
        <v>286988.36061315512</v>
      </c>
      <c r="N62" s="147">
        <f t="shared" ca="1" si="69"/>
        <v>296554.63930026029</v>
      </c>
      <c r="O62" s="147">
        <f t="shared" ref="O62:R62" ca="1" si="70">O60*(1-O64)</f>
        <v>306439.79394360236</v>
      </c>
      <c r="P62" s="147">
        <f t="shared" ca="1" si="70"/>
        <v>316654.45374172251</v>
      </c>
      <c r="Q62" s="147">
        <f t="shared" ca="1" si="70"/>
        <v>327209.60219977994</v>
      </c>
      <c r="R62" s="147">
        <f t="shared" ca="1" si="70"/>
        <v>338116.58893977263</v>
      </c>
    </row>
    <row r="63" spans="2:18"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</row>
    <row r="64" spans="2:18">
      <c r="B64" s="128" t="s">
        <v>419</v>
      </c>
      <c r="C64" s="128"/>
      <c r="D64" s="85">
        <f>Assumptions!$V$83</f>
        <v>0.97</v>
      </c>
      <c r="E64" s="85">
        <f>Assumptions!$V$83</f>
        <v>0.97</v>
      </c>
      <c r="F64" s="85">
        <f>Assumptions!$V$83</f>
        <v>0.97</v>
      </c>
      <c r="G64" s="85">
        <f>Assumptions!$V$83</f>
        <v>0.97</v>
      </c>
      <c r="H64" s="85">
        <f>Assumptions!$V$83</f>
        <v>0.97</v>
      </c>
      <c r="I64" s="85">
        <f>Assumptions!$V$83</f>
        <v>0.97</v>
      </c>
      <c r="J64" s="85">
        <f>Assumptions!$V$83</f>
        <v>0.97</v>
      </c>
      <c r="K64" s="85">
        <f>Assumptions!$V$83</f>
        <v>0.97</v>
      </c>
      <c r="L64" s="85">
        <f>Assumptions!$V$83</f>
        <v>0.97</v>
      </c>
      <c r="M64" s="85">
        <f>Assumptions!$V$83</f>
        <v>0.97</v>
      </c>
      <c r="N64" s="85">
        <f>Assumptions!$V$83</f>
        <v>0.97</v>
      </c>
      <c r="O64" s="85">
        <f>Assumptions!$V$83</f>
        <v>0.97</v>
      </c>
      <c r="P64" s="85">
        <f>Assumptions!$V$83</f>
        <v>0.97</v>
      </c>
      <c r="Q64" s="85">
        <f>Assumptions!$V$83</f>
        <v>0.97</v>
      </c>
      <c r="R64" s="85">
        <f>Assumptions!$V$83</f>
        <v>0.97</v>
      </c>
    </row>
    <row r="65" spans="2:18" ht="17.100000000000001" thickBot="1">
      <c r="B65" s="123"/>
      <c r="C65" s="123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</row>
    <row r="66" spans="2:18" ht="17.100000000000001" thickBot="1">
      <c r="B66" s="287" t="s">
        <v>420</v>
      </c>
      <c r="C66" s="288"/>
      <c r="D66" s="289">
        <f ca="1">D64*D60</f>
        <v>0</v>
      </c>
      <c r="E66" s="289">
        <f t="shared" ref="E66:N66" ca="1" si="71">E64*E60</f>
        <v>0</v>
      </c>
      <c r="F66" s="289">
        <f t="shared" ca="1" si="71"/>
        <v>0</v>
      </c>
      <c r="G66" s="289">
        <f t="shared" ca="1" si="71"/>
        <v>0</v>
      </c>
      <c r="H66" s="289">
        <f t="shared" ca="1" si="71"/>
        <v>3938062.2033422445</v>
      </c>
      <c r="I66" s="289">
        <f t="shared" ca="1" si="71"/>
        <v>8138661.8869073056</v>
      </c>
      <c r="J66" s="289">
        <f t="shared" ca="1" si="71"/>
        <v>8409950.6164708827</v>
      </c>
      <c r="K66" s="289">
        <f t="shared" ca="1" si="71"/>
        <v>8690282.3036865816</v>
      </c>
      <c r="L66" s="289">
        <f t="shared" ca="1" si="71"/>
        <v>8979958.3804761339</v>
      </c>
      <c r="M66" s="289">
        <f t="shared" ca="1" si="71"/>
        <v>9279290.3264920078</v>
      </c>
      <c r="N66" s="290">
        <f t="shared" ca="1" si="71"/>
        <v>9588600.0040417407</v>
      </c>
      <c r="O66" s="290">
        <f t="shared" ref="O66:R66" ca="1" si="72">O64*O60</f>
        <v>9908220.0041764677</v>
      </c>
      <c r="P66" s="290">
        <f t="shared" ca="1" si="72"/>
        <v>10238494.004315685</v>
      </c>
      <c r="Q66" s="290">
        <f t="shared" ca="1" si="72"/>
        <v>10579777.137792876</v>
      </c>
      <c r="R66" s="290">
        <f t="shared" ca="1" si="72"/>
        <v>10932436.375719305</v>
      </c>
    </row>
    <row r="67" spans="2:18">
      <c r="B67" s="127" t="s">
        <v>421</v>
      </c>
      <c r="C67" s="127"/>
      <c r="D67" s="147">
        <f ca="1">D66/Assumptions!$V$91</f>
        <v>0</v>
      </c>
      <c r="E67" s="147">
        <f ca="1">E66/Assumptions!$V$91</f>
        <v>0</v>
      </c>
      <c r="F67" s="147">
        <f ca="1">F66/Assumptions!$V$91</f>
        <v>0</v>
      </c>
      <c r="G67" s="147">
        <f ca="1">G66/Assumptions!$V$91</f>
        <v>0</v>
      </c>
      <c r="H67" s="147">
        <f ca="1">H66/Assumptions!$V$91</f>
        <v>78761244.066844881</v>
      </c>
      <c r="I67" s="147">
        <f ca="1">I66/Assumptions!$V$91</f>
        <v>162773237.7381461</v>
      </c>
      <c r="J67" s="147">
        <f ca="1">J66/Assumptions!$V$91</f>
        <v>168199012.32941765</v>
      </c>
      <c r="K67" s="147">
        <f ca="1">K66/Assumptions!$V$91</f>
        <v>173805646.07373163</v>
      </c>
      <c r="L67" s="147">
        <f ca="1">L66/Assumptions!$V$91</f>
        <v>179599167.60952267</v>
      </c>
      <c r="M67" s="147">
        <f ca="1">M66/Assumptions!$V$91</f>
        <v>185585806.52984014</v>
      </c>
      <c r="N67" s="147">
        <f ca="1">N66/Assumptions!$V$91</f>
        <v>191772000.08083481</v>
      </c>
      <c r="O67" s="147">
        <f ca="1">O66/Assumptions!$V$91</f>
        <v>198164400.08352935</v>
      </c>
      <c r="P67" s="147">
        <f ca="1">P66/Assumptions!$V$91</f>
        <v>204769880.08631369</v>
      </c>
      <c r="Q67" s="147">
        <f ca="1">Q66/Assumptions!$V$91</f>
        <v>211595542.7558575</v>
      </c>
      <c r="R67" s="147">
        <f ca="1">R66/Assumptions!$V$91</f>
        <v>218648727.51438609</v>
      </c>
    </row>
    <row r="69" spans="2:18">
      <c r="B69" s="282"/>
      <c r="C69" s="282"/>
      <c r="D69" s="279">
        <f>D48</f>
        <v>2022</v>
      </c>
      <c r="E69" s="279">
        <f t="shared" ref="E69:N69" si="73">E48</f>
        <v>2023</v>
      </c>
      <c r="F69" s="279">
        <f t="shared" si="73"/>
        <v>2024</v>
      </c>
      <c r="G69" s="279">
        <f t="shared" si="73"/>
        <v>2025</v>
      </c>
      <c r="H69" s="279">
        <f t="shared" si="73"/>
        <v>2026</v>
      </c>
      <c r="I69" s="279">
        <f t="shared" si="73"/>
        <v>2027</v>
      </c>
      <c r="J69" s="279">
        <f t="shared" si="73"/>
        <v>2028</v>
      </c>
      <c r="K69" s="279">
        <f t="shared" si="73"/>
        <v>2029</v>
      </c>
      <c r="L69" s="279">
        <f t="shared" si="73"/>
        <v>2030</v>
      </c>
      <c r="M69" s="279">
        <f t="shared" si="73"/>
        <v>2031</v>
      </c>
      <c r="N69" s="279">
        <f t="shared" si="73"/>
        <v>2032</v>
      </c>
      <c r="O69" s="279">
        <f t="shared" ref="O69:R69" si="74">O48</f>
        <v>2033</v>
      </c>
      <c r="P69" s="279">
        <f t="shared" si="74"/>
        <v>2034</v>
      </c>
      <c r="Q69" s="279">
        <f t="shared" si="74"/>
        <v>2035</v>
      </c>
      <c r="R69" s="279">
        <f t="shared" si="74"/>
        <v>2036</v>
      </c>
    </row>
    <row r="70" spans="2:18" ht="18">
      <c r="B70" s="302" t="s">
        <v>18</v>
      </c>
      <c r="C70" s="283"/>
      <c r="D70" s="281">
        <f>D49</f>
        <v>44926</v>
      </c>
      <c r="E70" s="281">
        <f t="shared" ref="E70:N70" si="75">E49</f>
        <v>45291</v>
      </c>
      <c r="F70" s="281">
        <f t="shared" si="75"/>
        <v>45657</v>
      </c>
      <c r="G70" s="281">
        <f t="shared" si="75"/>
        <v>46022</v>
      </c>
      <c r="H70" s="281">
        <f t="shared" si="75"/>
        <v>46387</v>
      </c>
      <c r="I70" s="281">
        <f t="shared" si="75"/>
        <v>46752</v>
      </c>
      <c r="J70" s="281">
        <f t="shared" si="75"/>
        <v>47118</v>
      </c>
      <c r="K70" s="281">
        <f t="shared" si="75"/>
        <v>47483</v>
      </c>
      <c r="L70" s="281">
        <f t="shared" si="75"/>
        <v>47848</v>
      </c>
      <c r="M70" s="281">
        <f t="shared" si="75"/>
        <v>48213</v>
      </c>
      <c r="N70" s="281">
        <f t="shared" si="75"/>
        <v>48579</v>
      </c>
      <c r="O70" s="281">
        <f t="shared" ref="O70:R70" si="76">O49</f>
        <v>48944</v>
      </c>
      <c r="P70" s="281">
        <f t="shared" si="76"/>
        <v>49309</v>
      </c>
      <c r="Q70" s="281">
        <f t="shared" si="76"/>
        <v>49674</v>
      </c>
      <c r="R70" s="281">
        <f t="shared" si="76"/>
        <v>50040</v>
      </c>
    </row>
    <row r="71" spans="2:18">
      <c r="B71" s="134"/>
      <c r="C71" s="134"/>
    </row>
    <row r="72" spans="2:18">
      <c r="B72" s="123" t="s">
        <v>408</v>
      </c>
      <c r="C72" s="123"/>
      <c r="D72" s="91">
        <f>+IF(AND(D70&gt;=Assumptions!$M$96,D70&lt;Assumptions!$M$98),Assumptions!$G$97/ROUNDUP((Assumptions!$M$97/12),0),0)</f>
        <v>0</v>
      </c>
      <c r="E72" s="91">
        <f>+IF(AND(E70&gt;=Assumptions!$M$96,E70&lt;Assumptions!$M$98),Assumptions!$G$97/ROUNDUP((Assumptions!$M$97/12),0),0)</f>
        <v>0</v>
      </c>
      <c r="F72" s="91">
        <f>+IF(AND(F70&gt;=Assumptions!$M$96,F70&lt;Assumptions!$M$98),Assumptions!$G$97/ROUNDUP((Assumptions!$M$97/12),0),0)</f>
        <v>0</v>
      </c>
      <c r="G72" s="91">
        <f>+IF(AND(G70&gt;=Assumptions!$M$96,G70&lt;Assumptions!$M$98),Assumptions!$G$97/ROUNDUP((Assumptions!$M$97/12),0),0)</f>
        <v>0</v>
      </c>
      <c r="H72" s="91">
        <f>+IF(AND(H70&gt;=Assumptions!$M$96,H70&lt;Assumptions!$M$98),Assumptions!$G$97/ROUNDUP((Assumptions!$M$97/12),0),0)</f>
        <v>40000</v>
      </c>
      <c r="I72" s="91">
        <f>+IF(AND(I70&gt;=Assumptions!$M$96,I70&lt;Assumptions!$M$98),Assumptions!$G$97/ROUNDUP((Assumptions!$M$97/12),0),0)</f>
        <v>0</v>
      </c>
      <c r="J72" s="91">
        <f>+IF(AND(J70&gt;=Assumptions!$M$96,J70&lt;Assumptions!$M$98),Assumptions!$G$97/ROUNDUP((Assumptions!$M$97/12),0),0)</f>
        <v>0</v>
      </c>
      <c r="K72" s="91">
        <f>+IF(AND(K70&gt;=Assumptions!$M$96,K70&lt;Assumptions!$M$98),Assumptions!$G$97/ROUNDUP((Assumptions!$M$97/12),0),0)</f>
        <v>0</v>
      </c>
      <c r="L72" s="91">
        <f>+IF(AND(L70&gt;=Assumptions!$M$96,L70&lt;Assumptions!$M$98),Assumptions!$G$97/ROUNDUP((Assumptions!$M$97/12),0),0)</f>
        <v>0</v>
      </c>
      <c r="M72" s="91">
        <f>+IF(AND(M70&gt;=Assumptions!$M$96,M70&lt;Assumptions!$M$98),Assumptions!$G$97/ROUNDUP((Assumptions!$M$97/12),0),0)</f>
        <v>0</v>
      </c>
      <c r="N72" s="91">
        <f>+IF(AND(N70&gt;=Assumptions!$M$96,N70&lt;Assumptions!$M$98),Assumptions!$G$97/ROUNDUP((Assumptions!$M$97/12),0),0)</f>
        <v>0</v>
      </c>
      <c r="O72" s="91">
        <f>+IF(AND(O70&gt;=Assumptions!$M$96,O70&lt;Assumptions!$M$98),Assumptions!$G$97/ROUNDUP((Assumptions!$M$97/12),0),0)</f>
        <v>0</v>
      </c>
      <c r="P72" s="91">
        <f>+IF(AND(P70&gt;=Assumptions!$M$96,P70&lt;Assumptions!$M$98),Assumptions!$G$97/ROUNDUP((Assumptions!$M$97/12),0),0)</f>
        <v>0</v>
      </c>
      <c r="Q72" s="91">
        <f>+IF(AND(Q70&gt;=Assumptions!$M$96,Q70&lt;Assumptions!$M$98),Assumptions!$G$97/ROUNDUP((Assumptions!$M$97/12),0),0)</f>
        <v>0</v>
      </c>
      <c r="R72" s="91">
        <f>+IF(AND(R70&gt;=Assumptions!$M$96,R70&lt;Assumptions!$M$98),Assumptions!$G$97/ROUNDUP((Assumptions!$M$97/12),0),0)</f>
        <v>0</v>
      </c>
    </row>
    <row r="73" spans="2:18">
      <c r="B73" s="123" t="s">
        <v>409</v>
      </c>
      <c r="C73" s="123"/>
      <c r="D73" s="91">
        <v>0</v>
      </c>
      <c r="E73" s="91">
        <f>D73+E72</f>
        <v>0</v>
      </c>
      <c r="F73" s="91">
        <f t="shared" ref="F73:N73" si="77">E73+F72</f>
        <v>0</v>
      </c>
      <c r="G73" s="91">
        <f t="shared" si="77"/>
        <v>0</v>
      </c>
      <c r="H73" s="91">
        <f t="shared" si="77"/>
        <v>40000</v>
      </c>
      <c r="I73" s="91">
        <f t="shared" si="77"/>
        <v>40000</v>
      </c>
      <c r="J73" s="91">
        <f t="shared" si="77"/>
        <v>40000</v>
      </c>
      <c r="K73" s="91">
        <f t="shared" si="77"/>
        <v>40000</v>
      </c>
      <c r="L73" s="91">
        <f t="shared" si="77"/>
        <v>40000</v>
      </c>
      <c r="M73" s="91">
        <f t="shared" si="77"/>
        <v>40000</v>
      </c>
      <c r="N73" s="91">
        <f t="shared" si="77"/>
        <v>40000</v>
      </c>
      <c r="O73" s="91">
        <f t="shared" ref="O73" si="78">N73+O72</f>
        <v>40000</v>
      </c>
      <c r="P73" s="91">
        <f t="shared" ref="P73" si="79">O73+P72</f>
        <v>40000</v>
      </c>
      <c r="Q73" s="91">
        <f t="shared" ref="Q73" si="80">P73+Q72</f>
        <v>40000</v>
      </c>
      <c r="R73" s="91">
        <f t="shared" ref="R73" si="81">Q73+R72</f>
        <v>40000</v>
      </c>
    </row>
    <row r="74" spans="2:18">
      <c r="B74" s="123" t="s">
        <v>412</v>
      </c>
      <c r="C74" s="123"/>
      <c r="D74" s="85">
        <f>D73/SUM($D$72:$N$72)</f>
        <v>0</v>
      </c>
      <c r="E74" s="85">
        <f>E73/SUM($D$72:$N$72)</f>
        <v>0</v>
      </c>
      <c r="F74" s="85">
        <f t="shared" ref="F74:N74" si="82">F73/SUM($D$72:$N$72)</f>
        <v>0</v>
      </c>
      <c r="G74" s="85">
        <f t="shared" si="82"/>
        <v>0</v>
      </c>
      <c r="H74" s="85">
        <f t="shared" si="82"/>
        <v>1</v>
      </c>
      <c r="I74" s="85">
        <f t="shared" si="82"/>
        <v>1</v>
      </c>
      <c r="J74" s="85">
        <f t="shared" si="82"/>
        <v>1</v>
      </c>
      <c r="K74" s="85">
        <f t="shared" si="82"/>
        <v>1</v>
      </c>
      <c r="L74" s="85">
        <f t="shared" si="82"/>
        <v>1</v>
      </c>
      <c r="M74" s="85">
        <f t="shared" si="82"/>
        <v>1</v>
      </c>
      <c r="N74" s="85">
        <f t="shared" si="82"/>
        <v>1</v>
      </c>
      <c r="O74" s="85">
        <f t="shared" ref="O74" si="83">O73/SUM($D$72:$N$72)</f>
        <v>1</v>
      </c>
      <c r="P74" s="85">
        <f t="shared" ref="P74" si="84">P73/SUM($D$72:$N$72)</f>
        <v>1</v>
      </c>
      <c r="Q74" s="85">
        <f t="shared" ref="Q74" si="85">Q73/SUM($D$72:$N$72)</f>
        <v>1</v>
      </c>
      <c r="R74" s="85">
        <f t="shared" ref="R74" si="86">R73/SUM($D$72:$N$72)</f>
        <v>1</v>
      </c>
    </row>
    <row r="75" spans="2:18">
      <c r="B75" s="123"/>
      <c r="C75" s="123"/>
    </row>
    <row r="76" spans="2:18">
      <c r="B76" s="123" t="s">
        <v>413</v>
      </c>
      <c r="C76" s="123"/>
      <c r="D76" s="51">
        <v>1</v>
      </c>
      <c r="E76" s="85">
        <f>D76*(1+Assumptions!$V$60/Assumptions!$V$61)</f>
        <v>1.0333333333333334</v>
      </c>
      <c r="F76" s="85">
        <f>E76*(1+Assumptions!$V$60/Assumptions!$V$61)</f>
        <v>1.0677777777777779</v>
      </c>
      <c r="G76" s="85">
        <f>F76*(1+Assumptions!$V$60/Assumptions!$V$61)</f>
        <v>1.1033703703703706</v>
      </c>
      <c r="H76" s="85">
        <f>G76*(1+Assumptions!$V$60/Assumptions!$V$61)</f>
        <v>1.1401493827160496</v>
      </c>
      <c r="I76" s="85">
        <f>H76*(1+Assumptions!$V$60/Assumptions!$V$61)</f>
        <v>1.178154362139918</v>
      </c>
      <c r="J76" s="85">
        <f>I76*(1+Assumptions!$V$60/Assumptions!$V$61)</f>
        <v>1.2174261742112487</v>
      </c>
      <c r="K76" s="85">
        <f>J76*(1+Assumptions!$V$60/Assumptions!$V$61)</f>
        <v>1.2580070466849571</v>
      </c>
      <c r="L76" s="85">
        <f>K76*(1+Assumptions!$V$60/Assumptions!$V$61)</f>
        <v>1.2999406149077892</v>
      </c>
      <c r="M76" s="85">
        <f>L76*(1+Assumptions!$V$60/Assumptions!$V$61)</f>
        <v>1.343271968738049</v>
      </c>
      <c r="N76" s="85">
        <f>M76*(1+Assumptions!$V$60/Assumptions!$V$61)</f>
        <v>1.3880477010293175</v>
      </c>
      <c r="O76" s="85">
        <f>N76*(1+Assumptions!$V$60/Assumptions!$V$61)</f>
        <v>1.4343159577302949</v>
      </c>
      <c r="P76" s="85">
        <f>O76*(1+Assumptions!$V$60/Assumptions!$V$61)</f>
        <v>1.4821264896546382</v>
      </c>
      <c r="Q76" s="85">
        <f>P76*(1+Assumptions!$V$60/Assumptions!$V$61)</f>
        <v>1.5315307059764596</v>
      </c>
      <c r="R76" s="85">
        <f>Q76*(1+Assumptions!$V$60/Assumptions!$V$61)</f>
        <v>1.5825817295090083</v>
      </c>
    </row>
    <row r="77" spans="2:18">
      <c r="B77" s="123" t="s">
        <v>414</v>
      </c>
      <c r="C77" s="123"/>
      <c r="D77" s="51">
        <v>1</v>
      </c>
      <c r="E77" s="51">
        <f>D77*(1+Assumptions!$V$70)</f>
        <v>1.03</v>
      </c>
      <c r="F77" s="51">
        <f>E77*(1+Assumptions!$V$70)</f>
        <v>1.0609</v>
      </c>
      <c r="G77" s="51">
        <f>F77*(1+Assumptions!$V$70)</f>
        <v>1.092727</v>
      </c>
      <c r="H77" s="51">
        <f>G77*(1+Assumptions!$V$70)</f>
        <v>1.1255088100000001</v>
      </c>
      <c r="I77" s="51">
        <f>H77*(1+Assumptions!$V$70)</f>
        <v>1.1592740743000001</v>
      </c>
      <c r="J77" s="51">
        <f>I77*(1+Assumptions!$V$70)</f>
        <v>1.1940522965290001</v>
      </c>
      <c r="K77" s="51">
        <f>J77*(1+Assumptions!$V$70)</f>
        <v>1.2298738654248702</v>
      </c>
      <c r="L77" s="51">
        <f>K77*(1+Assumptions!$V$70)</f>
        <v>1.2667700813876164</v>
      </c>
      <c r="M77" s="51">
        <f>L77*(1+Assumptions!$V$70)</f>
        <v>1.3047731838292449</v>
      </c>
      <c r="N77" s="51">
        <f>M77*(1+Assumptions!$V$70)</f>
        <v>1.3439163793441222</v>
      </c>
      <c r="O77" s="51">
        <f>N77*(1+Assumptions!$V$70)</f>
        <v>1.3842338707244459</v>
      </c>
      <c r="P77" s="51">
        <f>O77*(1+Assumptions!$V$70)</f>
        <v>1.4257608868461793</v>
      </c>
      <c r="Q77" s="51">
        <f>P77*(1+Assumptions!$V$70)</f>
        <v>1.4685337134515648</v>
      </c>
      <c r="R77" s="51">
        <f>Q77*(1+Assumptions!$V$70)</f>
        <v>1.5125897248551119</v>
      </c>
    </row>
    <row r="78" spans="2:18">
      <c r="B78" s="123"/>
      <c r="C78" s="123"/>
    </row>
    <row r="79" spans="2:18">
      <c r="B79" s="123" t="s">
        <v>415</v>
      </c>
      <c r="C79" s="123"/>
      <c r="D79" s="148">
        <f>D76*D74*Assumptions!$G$96</f>
        <v>0</v>
      </c>
      <c r="E79" s="148">
        <f>E76*E74*Assumptions!$G$96</f>
        <v>0</v>
      </c>
      <c r="F79" s="148">
        <f>F76*F74*Assumptions!$G$96</f>
        <v>0</v>
      </c>
      <c r="G79" s="148">
        <f>G76*G74*Assumptions!$G$96</f>
        <v>0</v>
      </c>
      <c r="H79" s="148">
        <f>H76*H74*Assumptions!$G$96</f>
        <v>912119.50617283967</v>
      </c>
      <c r="I79" s="148">
        <f>I76*I74*Assumptions!$G$96</f>
        <v>942523.48971193435</v>
      </c>
      <c r="J79" s="148">
        <f>J76*J74*Assumptions!$G$96</f>
        <v>973940.93936899898</v>
      </c>
      <c r="K79" s="148">
        <f>K76*K74*Assumptions!$G$96</f>
        <v>1006405.6373479657</v>
      </c>
      <c r="L79" s="148">
        <f>L76*L74*Assumptions!$G$96</f>
        <v>1039952.4919262314</v>
      </c>
      <c r="M79" s="148">
        <f>M76*M74*Assumptions!$G$96</f>
        <v>1074617.5749904392</v>
      </c>
      <c r="N79" s="148">
        <f>N76*N74*Assumptions!$G$96</f>
        <v>1110438.1608234539</v>
      </c>
      <c r="O79" s="148">
        <f>O76*O74*Assumptions!$G$96</f>
        <v>1147452.7661842359</v>
      </c>
      <c r="P79" s="148">
        <f>P76*P74*Assumptions!$G$96</f>
        <v>1185701.1917237106</v>
      </c>
      <c r="Q79" s="148">
        <f>Q76*Q74*Assumptions!$G$96</f>
        <v>1225224.5647811675</v>
      </c>
      <c r="R79" s="148">
        <f>R76*R74*Assumptions!$G$96</f>
        <v>1266065.3836072066</v>
      </c>
    </row>
    <row r="80" spans="2:18">
      <c r="B80" s="123" t="s">
        <v>416</v>
      </c>
      <c r="C80" s="123"/>
      <c r="D80" s="148">
        <f>-D79*Assumptions!$V$52</f>
        <v>0</v>
      </c>
      <c r="E80" s="148">
        <f>-E79*Assumptions!$V$52</f>
        <v>0</v>
      </c>
      <c r="F80" s="148">
        <f>-F79*Assumptions!$V$52</f>
        <v>0</v>
      </c>
      <c r="G80" s="148">
        <f>-G79*Assumptions!$V$52</f>
        <v>0</v>
      </c>
      <c r="H80" s="148">
        <f>-H79*Assumptions!$V$52</f>
        <v>-71145.3214814815</v>
      </c>
      <c r="I80" s="148">
        <f>-I79*Assumptions!$V$52</f>
        <v>-73516.832197530879</v>
      </c>
      <c r="J80" s="148">
        <f>-J79*Assumptions!$V$52</f>
        <v>-75967.393270781919</v>
      </c>
      <c r="K80" s="148">
        <f>-K79*Assumptions!$V$52</f>
        <v>-78499.639713141325</v>
      </c>
      <c r="L80" s="148">
        <f>-L79*Assumptions!$V$52</f>
        <v>-81116.294370246047</v>
      </c>
      <c r="M80" s="148">
        <f>-M79*Assumptions!$V$52</f>
        <v>-83820.170849254253</v>
      </c>
      <c r="N80" s="148">
        <f>-N79*Assumptions!$V$52</f>
        <v>-86614.176544229398</v>
      </c>
      <c r="O80" s="148">
        <f>-O79*Assumptions!$V$52</f>
        <v>-89501.315762370403</v>
      </c>
      <c r="P80" s="148">
        <f>-P79*Assumptions!$V$52</f>
        <v>-92484.692954449434</v>
      </c>
      <c r="Q80" s="148">
        <f>-Q79*Assumptions!$V$52</f>
        <v>-95567.516052931067</v>
      </c>
      <c r="R80" s="148">
        <f>-R79*Assumptions!$V$52</f>
        <v>-98753.099921362111</v>
      </c>
    </row>
    <row r="81" spans="2:18">
      <c r="B81" s="128" t="s">
        <v>417</v>
      </c>
      <c r="C81" s="128"/>
      <c r="D81" s="148">
        <f>D80+D79</f>
        <v>0</v>
      </c>
      <c r="E81" s="148">
        <f>E80+E79</f>
        <v>0</v>
      </c>
      <c r="F81" s="148">
        <f t="shared" ref="F81:N81" si="87">F80+F79</f>
        <v>0</v>
      </c>
      <c r="G81" s="148">
        <f t="shared" si="87"/>
        <v>0</v>
      </c>
      <c r="H81" s="148">
        <f t="shared" si="87"/>
        <v>840974.18469135812</v>
      </c>
      <c r="I81" s="148">
        <f t="shared" si="87"/>
        <v>869006.65751440346</v>
      </c>
      <c r="J81" s="148">
        <f t="shared" si="87"/>
        <v>897973.54609821702</v>
      </c>
      <c r="K81" s="148">
        <f t="shared" si="87"/>
        <v>927905.99763482437</v>
      </c>
      <c r="L81" s="148">
        <f t="shared" si="87"/>
        <v>958836.19755598542</v>
      </c>
      <c r="M81" s="148">
        <f t="shared" si="87"/>
        <v>990797.40414118499</v>
      </c>
      <c r="N81" s="148">
        <f t="shared" si="87"/>
        <v>1023823.9842792245</v>
      </c>
      <c r="O81" s="148">
        <f t="shared" ref="O81" si="88">O80+O79</f>
        <v>1057951.4504218656</v>
      </c>
      <c r="P81" s="148">
        <f t="shared" ref="P81" si="89">P80+P79</f>
        <v>1093216.4987692612</v>
      </c>
      <c r="Q81" s="148">
        <f t="shared" ref="Q81" si="90">Q80+Q79</f>
        <v>1129657.0487282365</v>
      </c>
      <c r="R81" s="148">
        <f t="shared" ref="R81" si="91">R80+R79</f>
        <v>1167312.2836858446</v>
      </c>
    </row>
    <row r="82" spans="2:18">
      <c r="B82" s="128"/>
      <c r="C82" s="12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</row>
    <row r="83" spans="2:18">
      <c r="B83" s="128" t="s">
        <v>418</v>
      </c>
      <c r="C83" s="128"/>
      <c r="D83" s="148">
        <f>D81*(1-D85)</f>
        <v>0</v>
      </c>
      <c r="E83" s="148">
        <f t="shared" ref="E83:N83" si="92">E81*(1-E85)</f>
        <v>0</v>
      </c>
      <c r="F83" s="148">
        <f t="shared" si="92"/>
        <v>0</v>
      </c>
      <c r="G83" s="148">
        <f t="shared" si="92"/>
        <v>0</v>
      </c>
      <c r="H83" s="148">
        <f t="shared" si="92"/>
        <v>210243.54617283953</v>
      </c>
      <c r="I83" s="148">
        <f t="shared" si="92"/>
        <v>217251.66437860086</v>
      </c>
      <c r="J83" s="148">
        <f t="shared" si="92"/>
        <v>224493.38652455425</v>
      </c>
      <c r="K83" s="148">
        <f t="shared" si="92"/>
        <v>231976.49940870609</v>
      </c>
      <c r="L83" s="148">
        <f t="shared" si="92"/>
        <v>239709.04938899635</v>
      </c>
      <c r="M83" s="148">
        <f t="shared" si="92"/>
        <v>247699.35103529625</v>
      </c>
      <c r="N83" s="148">
        <f t="shared" si="92"/>
        <v>255955.99606980613</v>
      </c>
      <c r="O83" s="148">
        <f t="shared" ref="O83:R83" si="93">O81*(1-O85)</f>
        <v>264487.86260546639</v>
      </c>
      <c r="P83" s="148">
        <f t="shared" si="93"/>
        <v>273304.12469231529</v>
      </c>
      <c r="Q83" s="148">
        <f t="shared" si="93"/>
        <v>282414.26218205912</v>
      </c>
      <c r="R83" s="148">
        <f t="shared" si="93"/>
        <v>291828.07092146116</v>
      </c>
    </row>
    <row r="84" spans="2:18"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</row>
    <row r="85" spans="2:18">
      <c r="B85" s="128" t="s">
        <v>419</v>
      </c>
      <c r="C85" s="128"/>
      <c r="D85" s="51">
        <f>Assumptions!$V$82</f>
        <v>0.75</v>
      </c>
      <c r="E85" s="51">
        <f>Assumptions!$V$82</f>
        <v>0.75</v>
      </c>
      <c r="F85" s="51">
        <f>Assumptions!$V$82</f>
        <v>0.75</v>
      </c>
      <c r="G85" s="51">
        <f>Assumptions!$V$82</f>
        <v>0.75</v>
      </c>
      <c r="H85" s="51">
        <f>Assumptions!$V$82</f>
        <v>0.75</v>
      </c>
      <c r="I85" s="51">
        <f>Assumptions!$V$82</f>
        <v>0.75</v>
      </c>
      <c r="J85" s="51">
        <f>Assumptions!$V$82</f>
        <v>0.75</v>
      </c>
      <c r="K85" s="51">
        <f>Assumptions!$V$82</f>
        <v>0.75</v>
      </c>
      <c r="L85" s="51">
        <f>Assumptions!$V$82</f>
        <v>0.75</v>
      </c>
      <c r="M85" s="51">
        <f>Assumptions!$V$82</f>
        <v>0.75</v>
      </c>
      <c r="N85" s="51">
        <f>Assumptions!$V$82</f>
        <v>0.75</v>
      </c>
      <c r="O85" s="51">
        <f>Assumptions!$V$82</f>
        <v>0.75</v>
      </c>
      <c r="P85" s="51">
        <f>Assumptions!$V$82</f>
        <v>0.75</v>
      </c>
      <c r="Q85" s="51">
        <f>Assumptions!$V$82</f>
        <v>0.75</v>
      </c>
      <c r="R85" s="51">
        <f>Assumptions!$V$82</f>
        <v>0.75</v>
      </c>
    </row>
    <row r="86" spans="2:18" ht="17.100000000000001" thickBot="1">
      <c r="B86" s="123"/>
      <c r="C86" s="1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</row>
    <row r="87" spans="2:18" ht="17.100000000000001" thickBot="1">
      <c r="B87" s="287" t="s">
        <v>420</v>
      </c>
      <c r="C87" s="288"/>
      <c r="D87" s="289">
        <f>D85*D81</f>
        <v>0</v>
      </c>
      <c r="E87" s="289">
        <f>E85*E81</f>
        <v>0</v>
      </c>
      <c r="F87" s="289">
        <f t="shared" ref="F87:N87" si="94">F85*F81</f>
        <v>0</v>
      </c>
      <c r="G87" s="289">
        <f t="shared" si="94"/>
        <v>0</v>
      </c>
      <c r="H87" s="289">
        <f t="shared" si="94"/>
        <v>630730.63851851854</v>
      </c>
      <c r="I87" s="289">
        <f t="shared" si="94"/>
        <v>651754.99313580256</v>
      </c>
      <c r="J87" s="289">
        <f t="shared" si="94"/>
        <v>673480.15957366279</v>
      </c>
      <c r="K87" s="289">
        <f t="shared" si="94"/>
        <v>695929.49822611827</v>
      </c>
      <c r="L87" s="289">
        <f t="shared" si="94"/>
        <v>719127.14816698909</v>
      </c>
      <c r="M87" s="289">
        <f t="shared" si="94"/>
        <v>743098.05310588877</v>
      </c>
      <c r="N87" s="289">
        <f t="shared" si="94"/>
        <v>767867.98820941837</v>
      </c>
      <c r="O87" s="289">
        <f t="shared" ref="O87:R87" si="95">O85*O81</f>
        <v>793463.58781639917</v>
      </c>
      <c r="P87" s="289">
        <f t="shared" si="95"/>
        <v>819912.37407694594</v>
      </c>
      <c r="Q87" s="289">
        <f t="shared" si="95"/>
        <v>847242.78654617735</v>
      </c>
      <c r="R87" s="290">
        <f t="shared" si="95"/>
        <v>875484.21276438353</v>
      </c>
    </row>
    <row r="88" spans="2:18">
      <c r="B88" s="127" t="s">
        <v>421</v>
      </c>
      <c r="C88" s="127"/>
      <c r="D88" s="147">
        <f>D87/Assumptions!$V$92</f>
        <v>0</v>
      </c>
      <c r="E88" s="147">
        <f>E87/Assumptions!$V$92</f>
        <v>0</v>
      </c>
      <c r="F88" s="147">
        <f>F87/Assumptions!$V$92</f>
        <v>0</v>
      </c>
      <c r="G88" s="147">
        <f>G87/Assumptions!$V$92</f>
        <v>0</v>
      </c>
      <c r="H88" s="147">
        <f>H87/Assumptions!$V$92</f>
        <v>9010437.6931216922</v>
      </c>
      <c r="I88" s="147">
        <f>I87/Assumptions!$V$92</f>
        <v>9310785.6162257493</v>
      </c>
      <c r="J88" s="147">
        <f>J87/Assumptions!$V$92</f>
        <v>9621145.1367666107</v>
      </c>
      <c r="K88" s="147">
        <f>K87/Assumptions!$V$92</f>
        <v>9941849.974658832</v>
      </c>
      <c r="L88" s="147">
        <f>L87/Assumptions!$V$92</f>
        <v>10273244.97381413</v>
      </c>
      <c r="M88" s="147">
        <f>M87/Assumptions!$V$92</f>
        <v>10615686.472941266</v>
      </c>
      <c r="N88" s="147">
        <f>N87/Assumptions!$V$92</f>
        <v>10969542.688705975</v>
      </c>
      <c r="O88" s="147">
        <f>O87/Assumptions!$V$92</f>
        <v>11335194.111662844</v>
      </c>
      <c r="P88" s="147">
        <f>P87/Assumptions!$V$92</f>
        <v>11713033.915384941</v>
      </c>
      <c r="Q88" s="147">
        <f>Q87/Assumptions!$V$92</f>
        <v>12103468.379231105</v>
      </c>
      <c r="R88" s="147">
        <f>R87/Assumptions!$V$92</f>
        <v>12506917.325205477</v>
      </c>
    </row>
    <row r="89" spans="2:18">
      <c r="B89" s="128"/>
      <c r="C89" s="128"/>
    </row>
    <row r="90" spans="2:18">
      <c r="B90" s="278"/>
      <c r="C90" s="278"/>
      <c r="D90" s="279">
        <f>D69</f>
        <v>2022</v>
      </c>
      <c r="E90" s="279">
        <f t="shared" ref="E90:R90" si="96">E69</f>
        <v>2023</v>
      </c>
      <c r="F90" s="279">
        <f t="shared" si="96"/>
        <v>2024</v>
      </c>
      <c r="G90" s="279">
        <f t="shared" si="96"/>
        <v>2025</v>
      </c>
      <c r="H90" s="279">
        <f t="shared" si="96"/>
        <v>2026</v>
      </c>
      <c r="I90" s="279">
        <f t="shared" si="96"/>
        <v>2027</v>
      </c>
      <c r="J90" s="279">
        <f t="shared" si="96"/>
        <v>2028</v>
      </c>
      <c r="K90" s="279">
        <f t="shared" si="96"/>
        <v>2029</v>
      </c>
      <c r="L90" s="279">
        <f t="shared" si="96"/>
        <v>2030</v>
      </c>
      <c r="M90" s="279">
        <f t="shared" si="96"/>
        <v>2031</v>
      </c>
      <c r="N90" s="279">
        <f t="shared" si="96"/>
        <v>2032</v>
      </c>
      <c r="O90" s="279">
        <f t="shared" si="96"/>
        <v>2033</v>
      </c>
      <c r="P90" s="279">
        <f t="shared" si="96"/>
        <v>2034</v>
      </c>
      <c r="Q90" s="279">
        <f t="shared" si="96"/>
        <v>2035</v>
      </c>
      <c r="R90" s="279">
        <f t="shared" si="96"/>
        <v>2036</v>
      </c>
    </row>
    <row r="91" spans="2:18" ht="18">
      <c r="B91" s="302" t="s">
        <v>10</v>
      </c>
      <c r="C91" s="302"/>
      <c r="D91" s="281">
        <f>D70</f>
        <v>44926</v>
      </c>
      <c r="E91" s="281">
        <f t="shared" ref="E91:R91" si="97">E70</f>
        <v>45291</v>
      </c>
      <c r="F91" s="281">
        <f t="shared" si="97"/>
        <v>45657</v>
      </c>
      <c r="G91" s="281">
        <f t="shared" si="97"/>
        <v>46022</v>
      </c>
      <c r="H91" s="281">
        <f t="shared" si="97"/>
        <v>46387</v>
      </c>
      <c r="I91" s="281">
        <f t="shared" si="97"/>
        <v>46752</v>
      </c>
      <c r="J91" s="281">
        <f t="shared" si="97"/>
        <v>47118</v>
      </c>
      <c r="K91" s="281">
        <f t="shared" si="97"/>
        <v>47483</v>
      </c>
      <c r="L91" s="281">
        <f t="shared" si="97"/>
        <v>47848</v>
      </c>
      <c r="M91" s="281">
        <f t="shared" si="97"/>
        <v>48213</v>
      </c>
      <c r="N91" s="281">
        <f t="shared" si="97"/>
        <v>48579</v>
      </c>
      <c r="O91" s="281">
        <f t="shared" si="97"/>
        <v>48944</v>
      </c>
      <c r="P91" s="281">
        <f t="shared" si="97"/>
        <v>49309</v>
      </c>
      <c r="Q91" s="281">
        <f t="shared" si="97"/>
        <v>49674</v>
      </c>
      <c r="R91" s="281">
        <f t="shared" si="97"/>
        <v>50040</v>
      </c>
    </row>
    <row r="92" spans="2:18">
      <c r="B92" s="134"/>
      <c r="C92" s="125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</row>
    <row r="93" spans="2:18">
      <c r="B93" s="123" t="s">
        <v>408</v>
      </c>
      <c r="C93" s="125"/>
      <c r="D93" s="91">
        <v>0</v>
      </c>
      <c r="E93" s="91">
        <f>+IF(AND(E70&gt;=Assumptions!$M$106,E70&lt;Assumptions!$M$108),Assumptions!$G$115/ROUNDUP((Assumptions!$M$107/12),0),0)</f>
        <v>0</v>
      </c>
      <c r="F93" s="91">
        <f>+IF(AND(F70&gt;=Assumptions!$M$106,F70&lt;Assumptions!$M$108),Assumptions!$G$115/ROUNDUP((Assumptions!$M$107/12),0),0)</f>
        <v>0</v>
      </c>
      <c r="G93" s="91">
        <f>+IF(AND(G70&gt;=Assumptions!$M$106,G70&lt;Assumptions!$M$108),Assumptions!$G$115/ROUNDUP((Assumptions!$M$107/12),0),0)</f>
        <v>0</v>
      </c>
      <c r="H93" s="91">
        <f>+IF(AND(H70&gt;=Assumptions!$M$106,H70&lt;Assumptions!$M$108),Assumptions!$G$115/ROUNDUP((Assumptions!$M$107/12),0),0)</f>
        <v>200000</v>
      </c>
      <c r="I93" s="91">
        <f>+IF(AND(I70&gt;=Assumptions!$M$106,I70&lt;Assumptions!$M$108),Assumptions!$G$115/ROUNDUP((Assumptions!$M$107/12),0),0)</f>
        <v>0</v>
      </c>
      <c r="J93" s="91">
        <f>+IF(AND(J70&gt;=Assumptions!$M$106,J70&lt;Assumptions!$M$108),Assumptions!$G$115/ROUNDUP((Assumptions!$M$107/12),0),0)</f>
        <v>0</v>
      </c>
      <c r="K93" s="91">
        <f>+IF(AND(K70&gt;=Assumptions!$M$106,K70&lt;Assumptions!$M$108),Assumptions!$G$115/ROUNDUP((Assumptions!$M$107/12),0),0)</f>
        <v>0</v>
      </c>
      <c r="L93" s="91">
        <f>+IF(AND(L70&gt;=Assumptions!$M$106,L70&lt;Assumptions!$M$108),Assumptions!$G$115/ROUNDUP((Assumptions!$M$107/12),0),0)</f>
        <v>0</v>
      </c>
      <c r="M93" s="91">
        <f>+IF(AND(M70&gt;=Assumptions!$M$106,M70&lt;Assumptions!$M$108),Assumptions!$G$115/ROUNDUP((Assumptions!$M$107/12),0),0)</f>
        <v>0</v>
      </c>
      <c r="N93" s="91">
        <f>+IF(AND(N70&gt;=Assumptions!$M$106,N70&lt;Assumptions!$M$108),Assumptions!$G$115/ROUNDUP((Assumptions!$M$107/12),0),0)</f>
        <v>0</v>
      </c>
      <c r="O93" s="91">
        <f>+IF(AND(O70&gt;=Assumptions!$M$106,O70&lt;Assumptions!$M$108),Assumptions!$G$115/ROUNDUP((Assumptions!$M$107/12),0),0)</f>
        <v>0</v>
      </c>
      <c r="P93" s="91">
        <f>+IF(AND(P70&gt;=Assumptions!$M$106,P70&lt;Assumptions!$M$108),Assumptions!$G$115/ROUNDUP((Assumptions!$M$107/12),0),0)</f>
        <v>0</v>
      </c>
      <c r="Q93" s="91">
        <f>+IF(AND(Q70&gt;=Assumptions!$M$106,Q70&lt;Assumptions!$M$108),Assumptions!$G$115/ROUNDUP((Assumptions!$M$107/12),0),0)</f>
        <v>0</v>
      </c>
      <c r="R93" s="91">
        <f>+IF(AND(R70&gt;=Assumptions!$M$106,R70&lt;Assumptions!$M$108),Assumptions!$G$115/ROUNDUP((Assumptions!$M$107/12),0),0)</f>
        <v>0</v>
      </c>
    </row>
    <row r="94" spans="2:18">
      <c r="B94" s="123" t="s">
        <v>409</v>
      </c>
      <c r="C94" s="125"/>
      <c r="D94" s="91">
        <f>+IF(AND(D70&gt;=Assumptions!$M$96,D70&lt;Assumptions!$M$98),Assumptions!$G$97/ROUNDUP((Assumptions!$M$97/12),0),0)</f>
        <v>0</v>
      </c>
      <c r="E94" s="91">
        <f>E93+D94</f>
        <v>0</v>
      </c>
      <c r="F94" s="91">
        <f t="shared" ref="F94:R94" si="98">F93+E94</f>
        <v>0</v>
      </c>
      <c r="G94" s="91">
        <f t="shared" si="98"/>
        <v>0</v>
      </c>
      <c r="H94" s="91">
        <f t="shared" si="98"/>
        <v>200000</v>
      </c>
      <c r="I94" s="91">
        <f t="shared" si="98"/>
        <v>200000</v>
      </c>
      <c r="J94" s="91">
        <f t="shared" si="98"/>
        <v>200000</v>
      </c>
      <c r="K94" s="91">
        <f t="shared" si="98"/>
        <v>200000</v>
      </c>
      <c r="L94" s="91">
        <f t="shared" si="98"/>
        <v>200000</v>
      </c>
      <c r="M94" s="91">
        <f t="shared" si="98"/>
        <v>200000</v>
      </c>
      <c r="N94" s="91">
        <f t="shared" si="98"/>
        <v>200000</v>
      </c>
      <c r="O94" s="91">
        <f t="shared" si="98"/>
        <v>200000</v>
      </c>
      <c r="P94" s="91">
        <f t="shared" si="98"/>
        <v>200000</v>
      </c>
      <c r="Q94" s="91">
        <f t="shared" si="98"/>
        <v>200000</v>
      </c>
      <c r="R94" s="91">
        <f t="shared" si="98"/>
        <v>200000</v>
      </c>
    </row>
    <row r="95" spans="2:18">
      <c r="B95" s="123" t="s">
        <v>410</v>
      </c>
      <c r="C95" s="125"/>
      <c r="D95" s="91">
        <v>0</v>
      </c>
      <c r="E95" s="91">
        <f>+IF(AND(E70&gt;=Assumptions!$M$106,E70&lt;Assumptions!$M$108),Assumptions!$G$116/ROUNDUP((Assumptions!$M$107/12),0),0)</f>
        <v>0</v>
      </c>
      <c r="F95" s="91">
        <f>+IF(AND(F70&gt;=Assumptions!$M$106,F70&lt;Assumptions!$M$108),Assumptions!$G$116/ROUNDUP((Assumptions!$M$107/12),0),0)</f>
        <v>0</v>
      </c>
      <c r="G95" s="91">
        <f>+IF(AND(G70&gt;=Assumptions!$M$106,G70&lt;Assumptions!$M$108),Assumptions!$G$116/ROUNDUP((Assumptions!$M$107/12),0),0)</f>
        <v>0</v>
      </c>
      <c r="H95" s="91">
        <f>+IF(AND(H70&gt;=Assumptions!$M$106,H70&lt;Assumptions!$M$108),Assumptions!$G$116/ROUNDUP((Assumptions!$M$107/12),0),0)</f>
        <v>500</v>
      </c>
      <c r="I95" s="91">
        <f>+IF(AND(I70&gt;=Assumptions!$M$106,I70&lt;Assumptions!$M$108),Assumptions!$G$116/ROUNDUP((Assumptions!$M$107/12),0),0)</f>
        <v>0</v>
      </c>
      <c r="J95" s="91">
        <f>+IF(AND(J70&gt;=Assumptions!$M$106,J70&lt;Assumptions!$M$108),Assumptions!$G$116/ROUNDUP((Assumptions!$M$107/12),0),0)</f>
        <v>0</v>
      </c>
      <c r="K95" s="91">
        <f>+IF(AND(K70&gt;=Assumptions!$M$106,K70&lt;Assumptions!$M$108),Assumptions!$G$116/ROUNDUP((Assumptions!$M$107/12),0),0)</f>
        <v>0</v>
      </c>
      <c r="L95" s="91">
        <f>+IF(AND(L70&gt;=Assumptions!$M$106,L70&lt;Assumptions!$M$108),Assumptions!$G$116/ROUNDUP((Assumptions!$M$107/12),0),0)</f>
        <v>0</v>
      </c>
      <c r="M95" s="91">
        <f>+IF(AND(M70&gt;=Assumptions!$M$106,M70&lt;Assumptions!$M$108),Assumptions!$G$116/ROUNDUP((Assumptions!$M$107/12),0),0)</f>
        <v>0</v>
      </c>
      <c r="N95" s="91">
        <f>+IF(AND(N70&gt;=Assumptions!$M$106,N70&lt;Assumptions!$M$108),Assumptions!$G$116/ROUNDUP((Assumptions!$M$107/12),0),0)</f>
        <v>0</v>
      </c>
      <c r="O95" s="91">
        <f>+IF(AND(O70&gt;=Assumptions!$M$106,O70&lt;Assumptions!$M$108),Assumptions!$G$116/ROUNDUP((Assumptions!$M$107/12),0),0)</f>
        <v>0</v>
      </c>
      <c r="P95" s="91">
        <f>+IF(AND(P70&gt;=Assumptions!$M$106,P70&lt;Assumptions!$M$108),Assumptions!$G$116/ROUNDUP((Assumptions!$M$107/12),0),0)</f>
        <v>0</v>
      </c>
      <c r="Q95" s="91">
        <f>+IF(AND(Q70&gt;=Assumptions!$M$106,Q70&lt;Assumptions!$M$108),Assumptions!$G$116/ROUNDUP((Assumptions!$M$107/12),0),0)</f>
        <v>0</v>
      </c>
      <c r="R95" s="91">
        <f>+IF(AND(R70&gt;=Assumptions!$M$106,R70&lt;Assumptions!$M$108),Assumptions!$G$116/ROUNDUP((Assumptions!$M$107/12),0),0)</f>
        <v>0</v>
      </c>
    </row>
    <row r="96" spans="2:18">
      <c r="B96" s="123" t="s">
        <v>411</v>
      </c>
      <c r="C96" s="125"/>
      <c r="D96" s="91">
        <v>0</v>
      </c>
      <c r="E96" s="91">
        <f>E95+D96</f>
        <v>0</v>
      </c>
      <c r="F96" s="91">
        <f t="shared" ref="F96:R96" si="99">F95+E96</f>
        <v>0</v>
      </c>
      <c r="G96" s="91">
        <f t="shared" si="99"/>
        <v>0</v>
      </c>
      <c r="H96" s="91">
        <f t="shared" si="99"/>
        <v>500</v>
      </c>
      <c r="I96" s="91">
        <f t="shared" si="99"/>
        <v>500</v>
      </c>
      <c r="J96" s="91">
        <f t="shared" si="99"/>
        <v>500</v>
      </c>
      <c r="K96" s="91">
        <f t="shared" si="99"/>
        <v>500</v>
      </c>
      <c r="L96" s="91">
        <f t="shared" si="99"/>
        <v>500</v>
      </c>
      <c r="M96" s="91">
        <f t="shared" si="99"/>
        <v>500</v>
      </c>
      <c r="N96" s="91">
        <f t="shared" si="99"/>
        <v>500</v>
      </c>
      <c r="O96" s="91">
        <f t="shared" si="99"/>
        <v>500</v>
      </c>
      <c r="P96" s="91">
        <f t="shared" si="99"/>
        <v>500</v>
      </c>
      <c r="Q96" s="91">
        <f t="shared" si="99"/>
        <v>500</v>
      </c>
      <c r="R96" s="91">
        <f t="shared" si="99"/>
        <v>500</v>
      </c>
    </row>
    <row r="97" spans="2:18">
      <c r="B97" s="123" t="s">
        <v>412</v>
      </c>
      <c r="C97" s="125"/>
      <c r="D97" s="94">
        <f>D96/SUM($D$95:$R$95)</f>
        <v>0</v>
      </c>
      <c r="E97" s="94">
        <f t="shared" ref="E97:R97" si="100">E96/SUM($D$95:$R$95)</f>
        <v>0</v>
      </c>
      <c r="F97" s="94">
        <f t="shared" si="100"/>
        <v>0</v>
      </c>
      <c r="G97" s="94">
        <f t="shared" si="100"/>
        <v>0</v>
      </c>
      <c r="H97" s="94">
        <f t="shared" si="100"/>
        <v>1</v>
      </c>
      <c r="I97" s="94">
        <f t="shared" si="100"/>
        <v>1</v>
      </c>
      <c r="J97" s="94">
        <f t="shared" si="100"/>
        <v>1</v>
      </c>
      <c r="K97" s="94">
        <f t="shared" si="100"/>
        <v>1</v>
      </c>
      <c r="L97" s="94">
        <f t="shared" si="100"/>
        <v>1</v>
      </c>
      <c r="M97" s="94">
        <f t="shared" si="100"/>
        <v>1</v>
      </c>
      <c r="N97" s="94">
        <f t="shared" si="100"/>
        <v>1</v>
      </c>
      <c r="O97" s="94">
        <f t="shared" si="100"/>
        <v>1</v>
      </c>
      <c r="P97" s="94">
        <f t="shared" si="100"/>
        <v>1</v>
      </c>
      <c r="Q97" s="94">
        <f t="shared" si="100"/>
        <v>1</v>
      </c>
      <c r="R97" s="94">
        <f t="shared" si="100"/>
        <v>1</v>
      </c>
    </row>
    <row r="98" spans="2:18">
      <c r="B98" s="123"/>
      <c r="C98" s="125"/>
      <c r="D98" s="91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</row>
    <row r="99" spans="2:18">
      <c r="B99" s="123" t="s">
        <v>413</v>
      </c>
      <c r="C99" s="125"/>
      <c r="D99" s="94">
        <v>1</v>
      </c>
      <c r="E99" s="94">
        <f>D76*(1+Assumptions!$V$65)</f>
        <v>1.03</v>
      </c>
      <c r="F99" s="94">
        <f>E76*(1+Assumptions!$V$65)</f>
        <v>1.0643333333333336</v>
      </c>
      <c r="G99" s="94">
        <f>F76*(1+Assumptions!$V$65)</f>
        <v>1.0998111111111113</v>
      </c>
      <c r="H99" s="94">
        <f>G76*(1+Assumptions!$V$65)</f>
        <v>1.1364714814814818</v>
      </c>
      <c r="I99" s="94">
        <f>H76*(1+Assumptions!$V$65)</f>
        <v>1.1743538641975311</v>
      </c>
      <c r="J99" s="94">
        <f>I76*(1+Assumptions!$V$65)</f>
        <v>1.2134989930041156</v>
      </c>
      <c r="K99" s="94">
        <f>J76*(1+Assumptions!$V$65)</f>
        <v>1.2539489594375861</v>
      </c>
      <c r="L99" s="94">
        <f>K76*(1+Assumptions!$V$65)</f>
        <v>1.2957472580855058</v>
      </c>
      <c r="M99" s="94">
        <f>L76*(1+Assumptions!$V$65)</f>
        <v>1.338938833355023</v>
      </c>
      <c r="N99" s="94">
        <f>M76*(1+Assumptions!$V$65)</f>
        <v>1.3835701278001904</v>
      </c>
      <c r="O99" s="94">
        <f>N76*(1+Assumptions!$V$65)</f>
        <v>1.429689132060197</v>
      </c>
      <c r="P99" s="94">
        <f>O76*(1+Assumptions!$V$65)</f>
        <v>1.4773454364622038</v>
      </c>
      <c r="Q99" s="94">
        <f>P76*(1+Assumptions!$V$65)</f>
        <v>1.5265902843442773</v>
      </c>
      <c r="R99" s="94">
        <f>Q76*(1+Assumptions!$V$65)</f>
        <v>1.5774766271557534</v>
      </c>
    </row>
    <row r="100" spans="2:18">
      <c r="B100" s="123" t="s">
        <v>414</v>
      </c>
      <c r="C100" s="125"/>
      <c r="D100" s="94">
        <v>1</v>
      </c>
      <c r="E100" s="94">
        <f>D100*(1+Assumptions!$V$73)</f>
        <v>1.03</v>
      </c>
      <c r="F100" s="94">
        <f>E100*(1+Assumptions!$V$73)</f>
        <v>1.0609</v>
      </c>
      <c r="G100" s="94">
        <f>F100*(1+Assumptions!$V$73)</f>
        <v>1.092727</v>
      </c>
      <c r="H100" s="94">
        <f>G100*(1+Assumptions!$V$73)</f>
        <v>1.1255088100000001</v>
      </c>
      <c r="I100" s="94">
        <f>H100*(1+Assumptions!$V$73)</f>
        <v>1.1592740743000001</v>
      </c>
      <c r="J100" s="94">
        <f>I100*(1+Assumptions!$V$73)</f>
        <v>1.1940522965290001</v>
      </c>
      <c r="K100" s="94">
        <f>J100*(1+Assumptions!$V$73)</f>
        <v>1.2298738654248702</v>
      </c>
      <c r="L100" s="94">
        <f>K100*(1+Assumptions!$V$73)</f>
        <v>1.2667700813876164</v>
      </c>
      <c r="M100" s="94">
        <f>L100*(1+Assumptions!$V$73)</f>
        <v>1.3047731838292449</v>
      </c>
      <c r="N100" s="94">
        <f>M100*(1+Assumptions!$V$73)</f>
        <v>1.3439163793441222</v>
      </c>
      <c r="O100" s="94">
        <f>N100*(1+Assumptions!$V$73)</f>
        <v>1.3842338707244459</v>
      </c>
      <c r="P100" s="94">
        <f>O100*(1+Assumptions!$V$73)</f>
        <v>1.4257608868461793</v>
      </c>
      <c r="Q100" s="94">
        <f>P100*(1+Assumptions!$V$73)</f>
        <v>1.4685337134515648</v>
      </c>
      <c r="R100" s="94">
        <f>Q100*(1+Assumptions!$V$73)</f>
        <v>1.5125897248551119</v>
      </c>
    </row>
    <row r="101" spans="2:18">
      <c r="B101" s="123"/>
      <c r="C101" s="125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</row>
    <row r="102" spans="2:18">
      <c r="B102" s="123" t="s">
        <v>415</v>
      </c>
      <c r="C102" s="125"/>
      <c r="D102" s="147">
        <f ca="1">D99*D97*Assumptions!$G$114</f>
        <v>0</v>
      </c>
      <c r="E102" s="147">
        <f ca="1">E99*E97*Assumptions!$G$114</f>
        <v>0</v>
      </c>
      <c r="F102" s="147">
        <f ca="1">F99*F97*Assumptions!$G$114</f>
        <v>0</v>
      </c>
      <c r="G102" s="147">
        <f ca="1">G99*G97*Assumptions!$G$114</f>
        <v>0</v>
      </c>
      <c r="H102" s="147">
        <f ca="1">H99*H97*Assumptions!$G$114</f>
        <v>575598.89912452188</v>
      </c>
      <c r="I102" s="147">
        <f ca="1">I99*I97*Assumptions!$G$114</f>
        <v>594785.52909533912</v>
      </c>
      <c r="J102" s="147">
        <f ca="1">J99*J97*Assumptions!$G$114</f>
        <v>614611.71339851723</v>
      </c>
      <c r="K102" s="147">
        <f ca="1">K99*K97*Assumptions!$G$114</f>
        <v>635098.77051180112</v>
      </c>
      <c r="L102" s="147">
        <f ca="1">L99*L97*Assumptions!$G$114</f>
        <v>656268.72952886124</v>
      </c>
      <c r="M102" s="147">
        <f ca="1">M99*M97*Assumptions!$G$114</f>
        <v>678144.35384649003</v>
      </c>
      <c r="N102" s="147">
        <f ca="1">N99*N97*Assumptions!$G$114</f>
        <v>700749.16564137314</v>
      </c>
      <c r="O102" s="147">
        <f ca="1">O99*O97*Assumptions!$G$114</f>
        <v>724107.47116275236</v>
      </c>
      <c r="P102" s="147">
        <f ca="1">P99*P97*Assumptions!$G$114</f>
        <v>748244.38686817756</v>
      </c>
      <c r="Q102" s="147">
        <f ca="1">Q99*Q97*Assumptions!$G$114</f>
        <v>773185.86643045011</v>
      </c>
      <c r="R102" s="147">
        <f ca="1">R99*R97*Assumptions!$G$114</f>
        <v>798958.72864479863</v>
      </c>
    </row>
    <row r="103" spans="2:18">
      <c r="B103" s="123" t="s">
        <v>416</v>
      </c>
      <c r="C103" s="125"/>
      <c r="D103" s="147">
        <f ca="1">-D102*Assumptions!$V$55</f>
        <v>0</v>
      </c>
      <c r="E103" s="147">
        <f ca="1">-E102*Assumptions!$V$55</f>
        <v>0</v>
      </c>
      <c r="F103" s="147">
        <f ca="1">-F102*Assumptions!$V$55</f>
        <v>0</v>
      </c>
      <c r="G103" s="147">
        <f ca="1">-G102*Assumptions!$V$55</f>
        <v>0</v>
      </c>
      <c r="H103" s="147">
        <f ca="1">-H102*Assumptions!$V$55</f>
        <v>-28779.944956226096</v>
      </c>
      <c r="I103" s="147">
        <f ca="1">-I102*Assumptions!$V$55</f>
        <v>-29739.276454766958</v>
      </c>
      <c r="J103" s="147">
        <f ca="1">-J102*Assumptions!$V$55</f>
        <v>-30730.585669925862</v>
      </c>
      <c r="K103" s="147">
        <f ca="1">-K102*Assumptions!$V$55</f>
        <v>-31754.938525590056</v>
      </c>
      <c r="L103" s="147">
        <f ca="1">-L102*Assumptions!$V$55</f>
        <v>-32813.436476443065</v>
      </c>
      <c r="M103" s="147">
        <f ca="1">-M102*Assumptions!$V$55</f>
        <v>-33907.217692324506</v>
      </c>
      <c r="N103" s="147">
        <f ca="1">-N102*Assumptions!$V$55</f>
        <v>-35037.458282068656</v>
      </c>
      <c r="O103" s="147">
        <f ca="1">-O102*Assumptions!$V$55</f>
        <v>-36205.373558137617</v>
      </c>
      <c r="P103" s="147">
        <f ca="1">-P102*Assumptions!$V$55</f>
        <v>-37412.219343408877</v>
      </c>
      <c r="Q103" s="147">
        <f ca="1">-Q102*Assumptions!$V$55</f>
        <v>-38659.293321522506</v>
      </c>
      <c r="R103" s="147">
        <f ca="1">-R102*Assumptions!$V$55</f>
        <v>-39947.936432239934</v>
      </c>
    </row>
    <row r="104" spans="2:18">
      <c r="B104" s="128" t="s">
        <v>417</v>
      </c>
      <c r="C104" s="125"/>
      <c r="D104" s="147">
        <f ca="1">D103+D102</f>
        <v>0</v>
      </c>
      <c r="E104" s="147">
        <f t="shared" ref="E104:R104" ca="1" si="101">E103+E102</f>
        <v>0</v>
      </c>
      <c r="F104" s="147">
        <f t="shared" ca="1" si="101"/>
        <v>0</v>
      </c>
      <c r="G104" s="147">
        <f t="shared" ca="1" si="101"/>
        <v>0</v>
      </c>
      <c r="H104" s="147">
        <f t="shared" ca="1" si="101"/>
        <v>546818.95416829584</v>
      </c>
      <c r="I104" s="147">
        <f t="shared" ca="1" si="101"/>
        <v>565046.25264057214</v>
      </c>
      <c r="J104" s="147">
        <f t="shared" ca="1" si="101"/>
        <v>583881.12772859132</v>
      </c>
      <c r="K104" s="147">
        <f t="shared" ca="1" si="101"/>
        <v>603343.83198621101</v>
      </c>
      <c r="L104" s="147">
        <f t="shared" ca="1" si="101"/>
        <v>623455.29305241816</v>
      </c>
      <c r="M104" s="147">
        <f t="shared" ca="1" si="101"/>
        <v>644237.13615416549</v>
      </c>
      <c r="N104" s="147">
        <f t="shared" ca="1" si="101"/>
        <v>665711.70735930454</v>
      </c>
      <c r="O104" s="147">
        <f t="shared" ca="1" si="101"/>
        <v>687902.0976046148</v>
      </c>
      <c r="P104" s="147">
        <f t="shared" ca="1" si="101"/>
        <v>710832.16752476874</v>
      </c>
      <c r="Q104" s="147">
        <f t="shared" ca="1" si="101"/>
        <v>734526.57310892758</v>
      </c>
      <c r="R104" s="147">
        <f t="shared" ca="1" si="101"/>
        <v>759010.79221255868</v>
      </c>
    </row>
    <row r="105" spans="2:18">
      <c r="B105" s="128"/>
      <c r="C105" s="125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</row>
    <row r="106" spans="2:18">
      <c r="B106" s="128" t="s">
        <v>418</v>
      </c>
      <c r="C106" s="125"/>
      <c r="D106" s="314">
        <f ca="1">D104*(1-D108)</f>
        <v>0</v>
      </c>
      <c r="E106" s="314">
        <f t="shared" ref="E106:R106" ca="1" si="102">E104*(1-E108)</f>
        <v>0</v>
      </c>
      <c r="F106" s="314">
        <f t="shared" ca="1" si="102"/>
        <v>0</v>
      </c>
      <c r="G106" s="314">
        <f t="shared" ca="1" si="102"/>
        <v>0</v>
      </c>
      <c r="H106" s="314">
        <f t="shared" ca="1" si="102"/>
        <v>16404.568625048891</v>
      </c>
      <c r="I106" s="314">
        <f t="shared" ca="1" si="102"/>
        <v>16951.387579217178</v>
      </c>
      <c r="J106" s="314">
        <f t="shared" ca="1" si="102"/>
        <v>17516.433831857754</v>
      </c>
      <c r="K106" s="314">
        <f t="shared" ca="1" si="102"/>
        <v>18100.314959586347</v>
      </c>
      <c r="L106" s="314">
        <f t="shared" ca="1" si="102"/>
        <v>18703.658791572561</v>
      </c>
      <c r="M106" s="314">
        <f t="shared" ca="1" si="102"/>
        <v>19327.114084624984</v>
      </c>
      <c r="N106" s="314">
        <f t="shared" ca="1" si="102"/>
        <v>19971.351220779154</v>
      </c>
      <c r="O106" s="314">
        <f t="shared" ca="1" si="102"/>
        <v>20637.062928138461</v>
      </c>
      <c r="P106" s="314">
        <f t="shared" ca="1" si="102"/>
        <v>21324.96502574308</v>
      </c>
      <c r="Q106" s="314">
        <f t="shared" ca="1" si="102"/>
        <v>22035.797193267848</v>
      </c>
      <c r="R106" s="314">
        <f t="shared" ca="1" si="102"/>
        <v>22770.32376637678</v>
      </c>
    </row>
    <row r="107" spans="2:18">
      <c r="C107" s="125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</row>
    <row r="108" spans="2:18">
      <c r="B108" s="123" t="s">
        <v>419</v>
      </c>
      <c r="C108" s="125"/>
      <c r="D108" s="94">
        <f>Assumptions!$V$84</f>
        <v>0.97</v>
      </c>
      <c r="E108" s="94">
        <f>Assumptions!$V$84</f>
        <v>0.97</v>
      </c>
      <c r="F108" s="94">
        <f>Assumptions!$V$84</f>
        <v>0.97</v>
      </c>
      <c r="G108" s="94">
        <f>Assumptions!$V$84</f>
        <v>0.97</v>
      </c>
      <c r="H108" s="94">
        <f>Assumptions!$V$84</f>
        <v>0.97</v>
      </c>
      <c r="I108" s="94">
        <f>Assumptions!$V$84</f>
        <v>0.97</v>
      </c>
      <c r="J108" s="94">
        <f>Assumptions!$V$84</f>
        <v>0.97</v>
      </c>
      <c r="K108" s="94">
        <f>Assumptions!$V$84</f>
        <v>0.97</v>
      </c>
      <c r="L108" s="94">
        <f>Assumptions!$V$84</f>
        <v>0.97</v>
      </c>
      <c r="M108" s="94">
        <f>Assumptions!$V$84</f>
        <v>0.97</v>
      </c>
      <c r="N108" s="94">
        <f>Assumptions!$V$84</f>
        <v>0.97</v>
      </c>
      <c r="O108" s="94">
        <f>Assumptions!$V$84</f>
        <v>0.97</v>
      </c>
      <c r="P108" s="94">
        <f>Assumptions!$V$84</f>
        <v>0.97</v>
      </c>
      <c r="Q108" s="94">
        <f>Assumptions!$V$84</f>
        <v>0.97</v>
      </c>
      <c r="R108" s="94">
        <f>Assumptions!$V$84</f>
        <v>0.97</v>
      </c>
    </row>
    <row r="109" spans="2:18" ht="17.100000000000001" thickBot="1">
      <c r="B109" s="123"/>
      <c r="C109" s="125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</row>
    <row r="110" spans="2:18" ht="17.100000000000001" thickBot="1">
      <c r="B110" s="315" t="s">
        <v>420</v>
      </c>
      <c r="C110" s="288"/>
      <c r="D110" s="289">
        <f ca="1">D104-D106</f>
        <v>0</v>
      </c>
      <c r="E110" s="289">
        <f t="shared" ref="E110:R110" ca="1" si="103">E104-E106</f>
        <v>0</v>
      </c>
      <c r="F110" s="289">
        <f t="shared" ca="1" si="103"/>
        <v>0</v>
      </c>
      <c r="G110" s="289">
        <f t="shared" ca="1" si="103"/>
        <v>0</v>
      </c>
      <c r="H110" s="289">
        <f t="shared" ca="1" si="103"/>
        <v>530414.38554324699</v>
      </c>
      <c r="I110" s="289">
        <f t="shared" ca="1" si="103"/>
        <v>548094.86506135494</v>
      </c>
      <c r="J110" s="289">
        <f t="shared" ca="1" si="103"/>
        <v>566364.69389673357</v>
      </c>
      <c r="K110" s="289">
        <f t="shared" ca="1" si="103"/>
        <v>585243.51702662464</v>
      </c>
      <c r="L110" s="289">
        <f t="shared" ca="1" si="103"/>
        <v>604751.6342608456</v>
      </c>
      <c r="M110" s="289">
        <f t="shared" ca="1" si="103"/>
        <v>624910.02206954046</v>
      </c>
      <c r="N110" s="289">
        <f t="shared" ca="1" si="103"/>
        <v>645740.35613852541</v>
      </c>
      <c r="O110" s="289">
        <f t="shared" ca="1" si="103"/>
        <v>667265.03467647638</v>
      </c>
      <c r="P110" s="289">
        <f t="shared" ca="1" si="103"/>
        <v>689507.20249902562</v>
      </c>
      <c r="Q110" s="289">
        <f t="shared" ca="1" si="103"/>
        <v>712490.77591565973</v>
      </c>
      <c r="R110" s="290">
        <f t="shared" ca="1" si="103"/>
        <v>736240.46844618185</v>
      </c>
    </row>
    <row r="111" spans="2:18">
      <c r="B111" s="127" t="s">
        <v>421</v>
      </c>
      <c r="C111" s="125"/>
      <c r="D111" s="147">
        <f ca="1">D110/Assumptions!$V$93</f>
        <v>0</v>
      </c>
      <c r="E111" s="147">
        <f ca="1">E110/Assumptions!$V$93</f>
        <v>0</v>
      </c>
      <c r="F111" s="147">
        <f ca="1">F110/Assumptions!$V$93</f>
        <v>0</v>
      </c>
      <c r="G111" s="147">
        <f ca="1">G110/Assumptions!$V$93</f>
        <v>0</v>
      </c>
      <c r="H111" s="147">
        <f ca="1">H110/Assumptions!$V$93</f>
        <v>8840239.7590541169</v>
      </c>
      <c r="I111" s="147">
        <f ca="1">I110/Assumptions!$V$93</f>
        <v>9134914.4176892489</v>
      </c>
      <c r="J111" s="147">
        <f ca="1">J110/Assumptions!$V$93</f>
        <v>9439411.5649455599</v>
      </c>
      <c r="K111" s="147">
        <f ca="1">K110/Assumptions!$V$93</f>
        <v>9754058.6171104107</v>
      </c>
      <c r="L111" s="147">
        <f ca="1">L110/Assumptions!$V$93</f>
        <v>10079193.904347427</v>
      </c>
      <c r="M111" s="147">
        <f ca="1">M110/Assumptions!$V$93</f>
        <v>10415167.034492342</v>
      </c>
      <c r="N111" s="147">
        <f ca="1">N110/Assumptions!$V$93</f>
        <v>10762339.268975424</v>
      </c>
      <c r="O111" s="147">
        <f ca="1">O110/Assumptions!$V$93</f>
        <v>11121083.911274606</v>
      </c>
      <c r="P111" s="147">
        <f ca="1">P110/Assumptions!$V$93</f>
        <v>11491786.708317094</v>
      </c>
      <c r="Q111" s="147">
        <f ca="1">Q110/Assumptions!$V$93</f>
        <v>11874846.265260996</v>
      </c>
      <c r="R111" s="147">
        <f ca="1">R110/Assumptions!$V$93</f>
        <v>12270674.474103032</v>
      </c>
    </row>
    <row r="112" spans="2:18" ht="17.100000000000001" thickBot="1">
      <c r="B112" s="125"/>
      <c r="C112" s="125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</row>
    <row r="113" spans="2:18" ht="17.100000000000001" thickBot="1">
      <c r="B113" s="287" t="s">
        <v>424</v>
      </c>
      <c r="C113" s="288"/>
      <c r="D113" s="289">
        <f ca="1">D87+D66+D45+D22+D110</f>
        <v>0</v>
      </c>
      <c r="E113" s="289">
        <f t="shared" ref="E113:R113" ca="1" si="104">E87+E66+E45+E22+E110</f>
        <v>0</v>
      </c>
      <c r="F113" s="289">
        <f t="shared" ca="1" si="104"/>
        <v>0</v>
      </c>
      <c r="G113" s="289">
        <f t="shared" ca="1" si="104"/>
        <v>0</v>
      </c>
      <c r="H113" s="289">
        <f t="shared" ca="1" si="104"/>
        <v>13703952.781931017</v>
      </c>
      <c r="I113" s="289">
        <f t="shared" ca="1" si="104"/>
        <v>18155232.402938195</v>
      </c>
      <c r="J113" s="289">
        <f t="shared" ca="1" si="104"/>
        <v>18684157.975231003</v>
      </c>
      <c r="K113" s="289">
        <f t="shared" ca="1" si="104"/>
        <v>19229286.030524537</v>
      </c>
      <c r="L113" s="289">
        <f t="shared" ca="1" si="104"/>
        <v>19791126.686940588</v>
      </c>
      <c r="M113" s="289">
        <f t="shared" ca="1" si="104"/>
        <v>20370206.360895555</v>
      </c>
      <c r="N113" s="289">
        <f t="shared" ca="1" si="104"/>
        <v>20967068.292107109</v>
      </c>
      <c r="O113" s="289">
        <f t="shared" ca="1" si="104"/>
        <v>21582273.085596438</v>
      </c>
      <c r="P113" s="289">
        <f t="shared" ca="1" si="104"/>
        <v>22216399.271238185</v>
      </c>
      <c r="Q113" s="289">
        <f t="shared" ca="1" si="104"/>
        <v>22870043.881428033</v>
      </c>
      <c r="R113" s="289">
        <f ca="1">R87+R66+R45+R22+R110</f>
        <v>23543823.047456529</v>
      </c>
    </row>
    <row r="114" spans="2:18">
      <c r="B114" s="125" t="s">
        <v>425</v>
      </c>
      <c r="C114" s="125"/>
      <c r="D114" s="147">
        <f t="shared" ref="D114:I114" ca="1" si="105">D88+D67+D46+D23+D111</f>
        <v>0</v>
      </c>
      <c r="E114" s="147">
        <f t="shared" ca="1" si="105"/>
        <v>0</v>
      </c>
      <c r="F114" s="147">
        <f t="shared" ca="1" si="105"/>
        <v>0</v>
      </c>
      <c r="G114" s="147">
        <f t="shared" ca="1" si="105"/>
        <v>0</v>
      </c>
      <c r="H114" s="147">
        <f t="shared" ca="1" si="105"/>
        <v>286082080.75492764</v>
      </c>
      <c r="I114" s="147">
        <f t="shared" ca="1" si="105"/>
        <v>375603747.39622718</v>
      </c>
      <c r="J114" s="147">
        <f ca="1">J88+J67+J46+J23+J111</f>
        <v>386694926.73937052</v>
      </c>
      <c r="K114" s="147">
        <f t="shared" ref="K114:R114" ca="1" si="106">K88+K67+K46+K23+K111</f>
        <v>398127261.95726877</v>
      </c>
      <c r="L114" s="147">
        <f t="shared" ca="1" si="106"/>
        <v>409911483.18326926</v>
      </c>
      <c r="M114" s="147">
        <f t="shared" ca="1" si="106"/>
        <v>422058662.19156641</v>
      </c>
      <c r="N114" s="147">
        <f t="shared" ca="1" si="106"/>
        <v>434580223.3526454</v>
      </c>
      <c r="O114" s="147">
        <f t="shared" ca="1" si="106"/>
        <v>447487954.94165558</v>
      </c>
      <c r="P114" s="147">
        <f t="shared" ca="1" si="106"/>
        <v>460794020.81112057</v>
      </c>
      <c r="Q114" s="147">
        <f t="shared" ca="1" si="106"/>
        <v>474510972.4397608</v>
      </c>
      <c r="R114" s="147">
        <f t="shared" ca="1" si="106"/>
        <v>488651761.36959046</v>
      </c>
    </row>
    <row r="115" spans="2:18">
      <c r="B115" s="125"/>
      <c r="C115" s="125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</row>
    <row r="116" spans="2:18">
      <c r="B116" s="125"/>
      <c r="C116" s="125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</row>
    <row r="117" spans="2:18" ht="18">
      <c r="B117" s="302" t="s">
        <v>35</v>
      </c>
      <c r="C117" s="284"/>
      <c r="D117" s="284"/>
      <c r="E117" s="284"/>
      <c r="F117" s="284"/>
      <c r="G117" s="284"/>
      <c r="H117" s="284"/>
      <c r="I117" s="284"/>
      <c r="J117" s="284"/>
      <c r="K117" s="284"/>
      <c r="L117" s="284"/>
      <c r="M117" s="284"/>
      <c r="N117" s="284"/>
      <c r="O117" s="284"/>
      <c r="P117" s="284"/>
      <c r="Q117" s="284"/>
      <c r="R117" s="284"/>
    </row>
    <row r="118" spans="2:18">
      <c r="B118" s="123" t="s">
        <v>426</v>
      </c>
      <c r="C118" s="147"/>
      <c r="D118" s="147">
        <v>0</v>
      </c>
      <c r="E118" s="147">
        <f ca="1">D121-D128</f>
        <v>0</v>
      </c>
      <c r="F118" s="147">
        <f t="shared" ref="F118:N118" ca="1" si="107">E121-E128</f>
        <v>0</v>
      </c>
      <c r="G118" s="147">
        <f t="shared" ca="1" si="107"/>
        <v>45724052.180422805</v>
      </c>
      <c r="H118" s="147">
        <f t="shared" ca="1" si="107"/>
        <v>169812949.34949061</v>
      </c>
      <c r="I118" s="147">
        <f t="shared" ca="1" si="107"/>
        <v>275475393.06997591</v>
      </c>
      <c r="J118" s="147">
        <f t="shared" ca="1" si="107"/>
        <v>269729336.11463374</v>
      </c>
      <c r="K118" s="147">
        <f t="shared" ca="1" si="107"/>
        <v>263878086.3351461</v>
      </c>
      <c r="L118" s="147">
        <f t="shared" ca="1" si="107"/>
        <v>0</v>
      </c>
      <c r="M118" s="147">
        <f t="shared" ca="1" si="107"/>
        <v>0</v>
      </c>
      <c r="N118" s="147">
        <f t="shared" ca="1" si="107"/>
        <v>0</v>
      </c>
      <c r="O118" s="147">
        <f t="shared" ref="O118:R118" ca="1" si="108">N121-N128</f>
        <v>0</v>
      </c>
      <c r="P118" s="147">
        <f t="shared" ca="1" si="108"/>
        <v>0</v>
      </c>
      <c r="Q118" s="147">
        <f t="shared" ca="1" si="108"/>
        <v>0</v>
      </c>
      <c r="R118" s="147">
        <f t="shared" ca="1" si="108"/>
        <v>0</v>
      </c>
    </row>
    <row r="119" spans="2:18">
      <c r="B119" s="123" t="s">
        <v>427</v>
      </c>
      <c r="C119" s="147"/>
      <c r="D119" s="147">
        <f ca="1">D158</f>
        <v>0</v>
      </c>
      <c r="E119" s="147">
        <f ca="1">E158</f>
        <v>0</v>
      </c>
      <c r="F119" s="147">
        <f ca="1">F158</f>
        <v>46587946.594892278</v>
      </c>
      <c r="G119" s="147">
        <f ca="1">G158</f>
        <v>127428143.35897943</v>
      </c>
      <c r="H119" s="147">
        <f ca="1">H158</f>
        <v>111300579.39613813</v>
      </c>
      <c r="I119" s="147">
        <f ca="1">I158</f>
        <v>0</v>
      </c>
      <c r="J119" s="147">
        <f ca="1">J158</f>
        <v>0</v>
      </c>
      <c r="K119" s="147">
        <f ca="1">K158</f>
        <v>0</v>
      </c>
      <c r="L119" s="147">
        <f ca="1">L158</f>
        <v>0</v>
      </c>
      <c r="M119" s="147">
        <f ca="1">M158</f>
        <v>0</v>
      </c>
      <c r="N119" s="147">
        <f ca="1">N158</f>
        <v>0</v>
      </c>
      <c r="O119" s="147">
        <f t="shared" ref="O119:R119" ca="1" si="109">O158</f>
        <v>0</v>
      </c>
      <c r="P119" s="147">
        <f t="shared" ca="1" si="109"/>
        <v>0</v>
      </c>
      <c r="Q119" s="147">
        <f t="shared" ca="1" si="109"/>
        <v>0</v>
      </c>
      <c r="R119" s="147">
        <f t="shared" ca="1" si="109"/>
        <v>0</v>
      </c>
    </row>
    <row r="120" spans="2:18">
      <c r="B120" s="123" t="s">
        <v>428</v>
      </c>
      <c r="C120" s="147"/>
      <c r="D120" s="147">
        <v>0</v>
      </c>
      <c r="E120" s="147">
        <f ca="1">PPMT(Assumptions!$V$100,'Phase I Pro Forma'!E$1,Assumptions!$V$101,SUM('Phase I Pro Forma'!E118,E119))</f>
        <v>0</v>
      </c>
      <c r="F120" s="147">
        <f ca="1">PPMT(Assumptions!$V$100,'Phase I Pro Forma'!F$1,Assumptions!$V$101,SUM('Phase I Pro Forma'!F118,F119))</f>
        <v>-863894.41446947528</v>
      </c>
      <c r="G120" s="147">
        <f ca="1">PPMT(Assumptions!$V$100,'Phase I Pro Forma'!G$1,Assumptions!$V$101,SUM('Phase I Pro Forma'!G118,G119))</f>
        <v>-3339246.1899116328</v>
      </c>
      <c r="H120" s="147">
        <f ca="1">PPMT(Assumptions!$V$100,'Phase I Pro Forma'!H$1,Assumptions!$V$101,SUM('Phase I Pro Forma'!H118,H119))</f>
        <v>-5638135.6756527983</v>
      </c>
      <c r="I120" s="147">
        <f ca="1">PPMT(Assumptions!$V$100,'Phase I Pro Forma'!I$1,Assumptions!$V$101,SUM('Phase I Pro Forma'!I118,I119))</f>
        <v>-5746056.9553421699</v>
      </c>
      <c r="J120" s="147">
        <f ca="1">PPMT(Assumptions!$V$100,'Phase I Pro Forma'!J$1,Assumptions!$V$101,SUM('Phase I Pro Forma'!J118,J119))</f>
        <v>-5851249.779487649</v>
      </c>
      <c r="K120" s="147">
        <f ca="1">PPMT(Assumptions!$V$100,'Phase I Pro Forma'!K$1,Assumptions!$V$101,SUM('Phase I Pro Forma'!K118,K119))</f>
        <v>-5953291.1080050422</v>
      </c>
      <c r="L120" s="147">
        <f ca="1">PPMT(Assumptions!$V$100,'Phase I Pro Forma'!L$1,Assumptions!$V$101,SUM('Phase I Pro Forma'!L118,L119))</f>
        <v>0</v>
      </c>
      <c r="M120" s="147">
        <f ca="1">PPMT(Assumptions!$V$100,'Phase I Pro Forma'!M$1,Assumptions!$V$101,SUM('Phase I Pro Forma'!M118,M119))</f>
        <v>0</v>
      </c>
      <c r="N120" s="147">
        <f ca="1">PPMT(Assumptions!$V$100,'Phase I Pro Forma'!N$1,Assumptions!$V$101,SUM('Phase I Pro Forma'!N118,N119))</f>
        <v>0</v>
      </c>
      <c r="O120" s="147">
        <f ca="1">PPMT(Assumptions!$V$100,'Phase I Pro Forma'!O$1,Assumptions!$V$101,SUM('Phase I Pro Forma'!O118,O119))</f>
        <v>0</v>
      </c>
      <c r="P120" s="147">
        <f ca="1">PPMT(Assumptions!$V$100,'Phase I Pro Forma'!P$1,Assumptions!$V$101,SUM('Phase I Pro Forma'!P118,P119))</f>
        <v>0</v>
      </c>
      <c r="Q120" s="147">
        <f ca="1">PPMT(Assumptions!$V$100,'Phase I Pro Forma'!Q$1,Assumptions!$V$101,SUM('Phase I Pro Forma'!Q118,Q119))</f>
        <v>0</v>
      </c>
      <c r="R120" s="147">
        <f ca="1">PPMT(Assumptions!$V$100,'Phase I Pro Forma'!R$1,Assumptions!$V$101,SUM('Phase I Pro Forma'!R118,R119))</f>
        <v>0</v>
      </c>
    </row>
    <row r="121" spans="2:18">
      <c r="B121" s="123" t="s">
        <v>429</v>
      </c>
      <c r="C121" s="147"/>
      <c r="D121" s="147">
        <f ca="1">SUM(D118:D120)</f>
        <v>0</v>
      </c>
      <c r="E121" s="147">
        <f t="shared" ref="E121:N121" ca="1" si="110">SUM(E118:E120)</f>
        <v>0</v>
      </c>
      <c r="F121" s="147">
        <f t="shared" ca="1" si="110"/>
        <v>45724052.180422805</v>
      </c>
      <c r="G121" s="147">
        <f t="shared" ca="1" si="110"/>
        <v>169812949.34949061</v>
      </c>
      <c r="H121" s="147">
        <f t="shared" ca="1" si="110"/>
        <v>275475393.06997591</v>
      </c>
      <c r="I121" s="147">
        <f t="shared" ca="1" si="110"/>
        <v>269729336.11463374</v>
      </c>
      <c r="J121" s="147">
        <f t="shared" ca="1" si="110"/>
        <v>263878086.3351461</v>
      </c>
      <c r="K121" s="147">
        <f t="shared" ca="1" si="110"/>
        <v>257924795.22714105</v>
      </c>
      <c r="L121" s="147">
        <f t="shared" ca="1" si="110"/>
        <v>0</v>
      </c>
      <c r="M121" s="147">
        <f t="shared" ca="1" si="110"/>
        <v>0</v>
      </c>
      <c r="N121" s="147">
        <f t="shared" ca="1" si="110"/>
        <v>0</v>
      </c>
      <c r="O121" s="147">
        <f t="shared" ref="O121" ca="1" si="111">SUM(O118:O120)</f>
        <v>0</v>
      </c>
      <c r="P121" s="147">
        <f t="shared" ref="P121" ca="1" si="112">SUM(P118:P120)</f>
        <v>0</v>
      </c>
      <c r="Q121" s="147">
        <f t="shared" ref="Q121" ca="1" si="113">SUM(Q118:Q120)</f>
        <v>0</v>
      </c>
      <c r="R121" s="147">
        <f t="shared" ref="R121" ca="1" si="114">SUM(R118:R120)</f>
        <v>0</v>
      </c>
    </row>
    <row r="122" spans="2:18">
      <c r="B122" s="128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</row>
    <row r="123" spans="2:18">
      <c r="B123" s="128" t="s">
        <v>430</v>
      </c>
      <c r="C123" s="147"/>
      <c r="D123" s="147">
        <f>D118*Assumptions!$V$100</f>
        <v>0</v>
      </c>
      <c r="E123" s="147">
        <f ca="1">E118*Assumptions!$V$100</f>
        <v>0</v>
      </c>
      <c r="F123" s="147">
        <f ca="1">F118*Assumptions!$V$100</f>
        <v>0</v>
      </c>
      <c r="G123" s="147">
        <f ca="1">G118*Assumptions!$V$100</f>
        <v>1828962.0872169123</v>
      </c>
      <c r="H123" s="147">
        <f ca="1">H118*Assumptions!$V$100</f>
        <v>6792517.9739796249</v>
      </c>
      <c r="I123" s="147">
        <f ca="1">I118*Assumptions!$V$100</f>
        <v>11019015.722799037</v>
      </c>
      <c r="J123" s="147">
        <f ca="1">J118*Assumptions!$V$100</f>
        <v>10789173.444585349</v>
      </c>
      <c r="K123" s="147">
        <f ca="1">K118*Assumptions!$V$100</f>
        <v>10555123.453405844</v>
      </c>
      <c r="L123" s="147">
        <f ca="1">L118*Assumptions!$V$100</f>
        <v>0</v>
      </c>
      <c r="M123" s="147">
        <f ca="1">M118*Assumptions!$V$100</f>
        <v>0</v>
      </c>
      <c r="N123" s="147">
        <f ca="1">N118*Assumptions!$V$100</f>
        <v>0</v>
      </c>
      <c r="O123" s="147">
        <f ca="1">O118*Assumptions!$V$100</f>
        <v>0</v>
      </c>
      <c r="P123" s="147">
        <f ca="1">P118*Assumptions!$V$100</f>
        <v>0</v>
      </c>
      <c r="Q123" s="147">
        <f ca="1">Q118*Assumptions!$V$100</f>
        <v>0</v>
      </c>
      <c r="R123" s="147">
        <f ca="1">R118*Assumptions!$V$100</f>
        <v>0</v>
      </c>
    </row>
    <row r="124" spans="2:18">
      <c r="B124" s="128" t="s">
        <v>431</v>
      </c>
      <c r="C124" s="147"/>
      <c r="D124" s="147">
        <f>D123-D120</f>
        <v>0</v>
      </c>
      <c r="E124" s="147">
        <f t="shared" ref="E124:N124" ca="1" si="115">E123-E120</f>
        <v>0</v>
      </c>
      <c r="F124" s="147">
        <f t="shared" ca="1" si="115"/>
        <v>863894.41446947528</v>
      </c>
      <c r="G124" s="147">
        <f t="shared" ca="1" si="115"/>
        <v>5168208.2771285456</v>
      </c>
      <c r="H124" s="147">
        <f t="shared" ca="1" si="115"/>
        <v>12430653.649632424</v>
      </c>
      <c r="I124" s="147">
        <f t="shared" ca="1" si="115"/>
        <v>16765072.678141207</v>
      </c>
      <c r="J124" s="147">
        <f t="shared" ca="1" si="115"/>
        <v>16640423.224072998</v>
      </c>
      <c r="K124" s="147">
        <f t="shared" ca="1" si="115"/>
        <v>16508414.561410885</v>
      </c>
      <c r="L124" s="147">
        <f t="shared" ca="1" si="115"/>
        <v>0</v>
      </c>
      <c r="M124" s="147">
        <f t="shared" ca="1" si="115"/>
        <v>0</v>
      </c>
      <c r="N124" s="147">
        <f t="shared" ca="1" si="115"/>
        <v>0</v>
      </c>
      <c r="O124" s="147">
        <f t="shared" ref="O124" ca="1" si="116">O123-O120</f>
        <v>0</v>
      </c>
      <c r="P124" s="147">
        <f t="shared" ref="P124" ca="1" si="117">P123-P120</f>
        <v>0</v>
      </c>
      <c r="Q124" s="147">
        <f t="shared" ref="Q124" ca="1" si="118">Q123-Q120</f>
        <v>0</v>
      </c>
      <c r="R124" s="147">
        <f t="shared" ref="R124" ca="1" si="119">R123-R120</f>
        <v>0</v>
      </c>
    </row>
    <row r="125" spans="2:18">
      <c r="B125" s="128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</row>
    <row r="126" spans="2:18">
      <c r="B126" s="128" t="s">
        <v>191</v>
      </c>
      <c r="C126" s="147"/>
      <c r="D126" s="147">
        <f ca="1">D119*Assumptions!$V$102</f>
        <v>0</v>
      </c>
      <c r="E126" s="147">
        <f ca="1">E119*Assumptions!$V$102</f>
        <v>0</v>
      </c>
      <c r="F126" s="147">
        <f ca="1">F119*Assumptions!$V$102</f>
        <v>698819.19892338419</v>
      </c>
      <c r="G126" s="147">
        <f ca="1">G119*Assumptions!$V$102</f>
        <v>1911422.1503846915</v>
      </c>
      <c r="H126" s="147">
        <f ca="1">H119*Assumptions!$V$102</f>
        <v>1669508.6909420718</v>
      </c>
      <c r="I126" s="147">
        <f ca="1">I119*Assumptions!$V$102</f>
        <v>0</v>
      </c>
      <c r="J126" s="147">
        <f ca="1">J119*Assumptions!$V$102</f>
        <v>0</v>
      </c>
      <c r="K126" s="147">
        <f ca="1">K119*Assumptions!$V$102</f>
        <v>0</v>
      </c>
      <c r="L126" s="147">
        <f ca="1">L119*Assumptions!$V$102</f>
        <v>0</v>
      </c>
      <c r="M126" s="147">
        <f ca="1">M119*Assumptions!$V$102</f>
        <v>0</v>
      </c>
      <c r="N126" s="147">
        <f ca="1">N119*Assumptions!$V$102</f>
        <v>0</v>
      </c>
      <c r="O126" s="147">
        <f ca="1">O119*Assumptions!$V$102</f>
        <v>0</v>
      </c>
      <c r="P126" s="147">
        <f ca="1">P119*Assumptions!$V$102</f>
        <v>0</v>
      </c>
      <c r="Q126" s="147">
        <f ca="1">Q119*Assumptions!$V$102</f>
        <v>0</v>
      </c>
      <c r="R126" s="147">
        <f ca="1">R119*Assumptions!$V$102</f>
        <v>0</v>
      </c>
    </row>
    <row r="127" spans="2:18">
      <c r="B127" s="128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</row>
    <row r="128" spans="2:18">
      <c r="B128" s="128" t="s">
        <v>432</v>
      </c>
      <c r="C128" s="147"/>
      <c r="D128" s="147">
        <f>IF(D69=YEAR(Assumptions!$H$4),D121,0)</f>
        <v>0</v>
      </c>
      <c r="E128" s="147">
        <f>IF(E69=YEAR(Assumptions!$H$4),E121,0)</f>
        <v>0</v>
      </c>
      <c r="F128" s="147">
        <f>IF(F69=YEAR(Assumptions!$H$4),F121,0)</f>
        <v>0</v>
      </c>
      <c r="G128" s="147">
        <f>IF(G69=YEAR(Assumptions!$H$4),G121,0)</f>
        <v>0</v>
      </c>
      <c r="H128" s="147">
        <f>IF(H69=YEAR(Assumptions!$H$4),H121,0)</f>
        <v>0</v>
      </c>
      <c r="I128" s="147">
        <f>IF(I69=YEAR(Assumptions!$H$4),I121,0)</f>
        <v>0</v>
      </c>
      <c r="J128" s="147">
        <f>IF(J69=YEAR(Assumptions!$H$4),J121,0)</f>
        <v>0</v>
      </c>
      <c r="K128" s="147">
        <f ca="1">IF(K69=YEAR(Assumptions!$H$4),K121,0)</f>
        <v>257924795.22714105</v>
      </c>
      <c r="L128" s="147">
        <f>IF(L69=YEAR(Assumptions!$H$4),L121,0)</f>
        <v>0</v>
      </c>
      <c r="M128" s="147">
        <f>IF(M69=YEAR(Assumptions!$H$4),M121,0)</f>
        <v>0</v>
      </c>
      <c r="N128" s="147">
        <f>IF(N69=YEAR(Assumptions!$H$4),N121,0)</f>
        <v>0</v>
      </c>
      <c r="O128" s="147">
        <f>IF(O69=YEAR(Assumptions!$H$4),O121,0)</f>
        <v>0</v>
      </c>
      <c r="P128" s="147">
        <f>IF(P69=YEAR(Assumptions!$H$4),P121,0)</f>
        <v>0</v>
      </c>
      <c r="Q128" s="147">
        <f>IF(Q69=YEAR(Assumptions!$H$4),Q121,0)</f>
        <v>0</v>
      </c>
      <c r="R128" s="147">
        <f>IF(R69=YEAR(Assumptions!$H$4),R121,0)</f>
        <v>0</v>
      </c>
    </row>
    <row r="129" spans="1:18" ht="17.100000000000001" thickBot="1">
      <c r="B129" s="128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</row>
    <row r="130" spans="1:18" ht="17.100000000000001" thickBot="1">
      <c r="B130" s="287" t="s">
        <v>433</v>
      </c>
      <c r="C130" s="288"/>
      <c r="D130" s="289">
        <f ca="1">IF(D69&lt;=YEAR(Assumptions!$H$4),D113-D124-D126-D128,0)</f>
        <v>0</v>
      </c>
      <c r="E130" s="289">
        <f ca="1">IF(E69&lt;=YEAR(Assumptions!$H$4),E113-E124-E126-E128,0)</f>
        <v>0</v>
      </c>
      <c r="F130" s="289">
        <f ca="1">IF(F69&lt;=YEAR(Assumptions!$H$4),F113-F124-F126-F128,0)</f>
        <v>-1562713.6133928595</v>
      </c>
      <c r="G130" s="289">
        <f ca="1">IF(G69&lt;=YEAR(Assumptions!$H$4),G113-G124-G126-G128,0)</f>
        <v>-7079630.4275132371</v>
      </c>
      <c r="H130" s="289">
        <f ca="1">IF(H69&lt;=YEAR(Assumptions!$H$4),H113-H124-H126-H128,0)</f>
        <v>-396209.55864347937</v>
      </c>
      <c r="I130" s="289">
        <f ca="1">IF(I69&lt;=YEAR(Assumptions!$H$4),I113-I124-I126-I128,0)</f>
        <v>1390159.7247969881</v>
      </c>
      <c r="J130" s="289">
        <f ca="1">IF(J69&lt;=YEAR(Assumptions!$H$4),J113-J124-J126-J128,0)</f>
        <v>2043734.7511580046</v>
      </c>
      <c r="K130" s="289">
        <f ca="1">IF(K69&lt;=YEAR(Assumptions!$H$4),K113-K124-K126-K128,0)</f>
        <v>-255203923.7580274</v>
      </c>
      <c r="L130" s="289">
        <f>IF(L69&lt;=YEAR(Assumptions!$H$4),L113-L124-L126-L128,0)</f>
        <v>0</v>
      </c>
      <c r="M130" s="289">
        <f>IF(M69&lt;=YEAR(Assumptions!$H$4),M113-M124-M126-M128,0)</f>
        <v>0</v>
      </c>
      <c r="N130" s="289">
        <f>IF(N69&lt;=YEAR(Assumptions!$H$4),N113-N124-N126-N128,0)</f>
        <v>0</v>
      </c>
      <c r="O130" s="289">
        <f>IF(O69&lt;=YEAR(Assumptions!$H$4),O113-O124-O126-O128,0)</f>
        <v>0</v>
      </c>
      <c r="P130" s="289">
        <f>IF(P69&lt;=YEAR(Assumptions!$H$4),P113-P124-P126-P128,0)</f>
        <v>0</v>
      </c>
      <c r="Q130" s="289">
        <f>IF(Q69&lt;=YEAR(Assumptions!$H$4),Q113-Q124-Q126-Q128,0)</f>
        <v>0</v>
      </c>
      <c r="R130" s="289">
        <f>IF(R69&lt;=YEAR(Assumptions!$H$4),R113-R124-R126-R128,0)</f>
        <v>0</v>
      </c>
    </row>
    <row r="131" spans="1:18">
      <c r="B131" s="128"/>
      <c r="C131" s="128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</row>
    <row r="132" spans="1:18">
      <c r="B132" s="128"/>
      <c r="C132" s="128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</row>
    <row r="133" spans="1:18">
      <c r="B133" s="245" t="s">
        <v>434</v>
      </c>
      <c r="C133" s="251"/>
      <c r="D133" s="226"/>
      <c r="E133" s="226"/>
      <c r="F133" s="226"/>
      <c r="G133" s="226"/>
      <c r="H133" s="226"/>
      <c r="I133" s="226"/>
      <c r="J133" s="226"/>
      <c r="K133" s="226"/>
      <c r="L133" s="226"/>
      <c r="M133" s="226"/>
      <c r="N133" s="246"/>
      <c r="O133" s="246"/>
      <c r="P133" s="246"/>
      <c r="Q133" s="246"/>
      <c r="R133" s="246"/>
    </row>
    <row r="134" spans="1:18">
      <c r="B134" s="247" t="s">
        <v>435</v>
      </c>
      <c r="C134" s="128"/>
      <c r="D134" s="147">
        <f>IF(D69=YEAR(Assumptions!$H$4),SUM('Phase I Pro Forma'!D88,'Phase I Pro Forma'!D67,'Phase I Pro Forma'!D46,'Phase I Pro Forma'!D23),0)</f>
        <v>0</v>
      </c>
      <c r="E134" s="147">
        <f>IF(E69=YEAR(Assumptions!$H$4),SUM('Phase I Pro Forma'!E88,'Phase I Pro Forma'!E67,'Phase I Pro Forma'!E46,'Phase I Pro Forma'!E23),0)</f>
        <v>0</v>
      </c>
      <c r="F134" s="147">
        <f>IF(F69=YEAR(Assumptions!$H$4),SUM('Phase I Pro Forma'!F88,'Phase I Pro Forma'!F67,'Phase I Pro Forma'!F46,'Phase I Pro Forma'!F23),0)</f>
        <v>0</v>
      </c>
      <c r="G134" s="147">
        <f>IF(G69=YEAR(Assumptions!$H$4),SUM('Phase I Pro Forma'!G88,'Phase I Pro Forma'!G67,'Phase I Pro Forma'!G46,'Phase I Pro Forma'!G23),0)</f>
        <v>0</v>
      </c>
      <c r="H134" s="147">
        <f>IF(H69=YEAR(Assumptions!$H$4),SUM('Phase I Pro Forma'!H88,'Phase I Pro Forma'!H67,'Phase I Pro Forma'!H46,'Phase I Pro Forma'!H23),0)</f>
        <v>0</v>
      </c>
      <c r="I134" s="147">
        <f>IF(I69=YEAR(Assumptions!$H$4),SUM('Phase I Pro Forma'!I88,'Phase I Pro Forma'!I67,'Phase I Pro Forma'!I46,'Phase I Pro Forma'!I23),0)</f>
        <v>0</v>
      </c>
      <c r="J134" s="147">
        <f>IF(J69=YEAR(Assumptions!$H$4),SUM('Phase I Pro Forma'!J88,'Phase I Pro Forma'!J67,'Phase I Pro Forma'!J46,'Phase I Pro Forma'!J23,J111),0)</f>
        <v>0</v>
      </c>
      <c r="K134" s="147">
        <f ca="1">IF(K69=YEAR(Assumptions!$H$4),SUM('Phase I Pro Forma'!K88,'Phase I Pro Forma'!K67,'Phase I Pro Forma'!K46,'Phase I Pro Forma'!K23),0)</f>
        <v>388373203.34015834</v>
      </c>
      <c r="L134" s="147">
        <f>IF(L69=YEAR(Assumptions!$H$4),SUM('Phase I Pro Forma'!L88,'Phase I Pro Forma'!L67,'Phase I Pro Forma'!L46,'Phase I Pro Forma'!L23),0)</f>
        <v>0</v>
      </c>
      <c r="M134" s="147">
        <f>IF(M69=YEAR(Assumptions!$H$4),SUM('Phase I Pro Forma'!M88,'Phase I Pro Forma'!M67,'Phase I Pro Forma'!M46,'Phase I Pro Forma'!M23),0)</f>
        <v>0</v>
      </c>
      <c r="N134" s="248">
        <f>IF(N69=YEAR(Assumptions!$H$4),SUM('Phase I Pro Forma'!N88,'Phase I Pro Forma'!N67,'Phase I Pro Forma'!N46,'Phase I Pro Forma'!N23),0)</f>
        <v>0</v>
      </c>
      <c r="O134" s="248">
        <f>IF(O69=YEAR(Assumptions!$H$4),SUM('Phase I Pro Forma'!O88,'Phase I Pro Forma'!O67,'Phase I Pro Forma'!O46,'Phase I Pro Forma'!O23),0)</f>
        <v>0</v>
      </c>
      <c r="P134" s="248">
        <f>IF(P69=YEAR(Assumptions!$H$4),SUM('Phase I Pro Forma'!P88,'Phase I Pro Forma'!P67,'Phase I Pro Forma'!P46,'Phase I Pro Forma'!P23),0)</f>
        <v>0</v>
      </c>
      <c r="Q134" s="248">
        <f>IF(Q69=YEAR(Assumptions!$H$4),SUM('Phase I Pro Forma'!Q88,'Phase I Pro Forma'!Q67,'Phase I Pro Forma'!Q46,'Phase I Pro Forma'!Q23),0)</f>
        <v>0</v>
      </c>
      <c r="R134" s="248">
        <f>IF(R69=YEAR(Assumptions!$H$4),SUM('Phase I Pro Forma'!R88,'Phase I Pro Forma'!R67,'Phase I Pro Forma'!R46,'Phase I Pro Forma'!R23),0)</f>
        <v>0</v>
      </c>
    </row>
    <row r="135" spans="1:18">
      <c r="B135" s="247" t="s">
        <v>436</v>
      </c>
      <c r="C135" s="128"/>
      <c r="D135" s="147">
        <f>-D134*Assumptions!$V$94</f>
        <v>0</v>
      </c>
      <c r="E135" s="147">
        <f>-E134*Assumptions!$V$94</f>
        <v>0</v>
      </c>
      <c r="F135" s="147">
        <f>-F134*Assumptions!$V$94</f>
        <v>0</v>
      </c>
      <c r="G135" s="147">
        <f>-G134*Assumptions!$V$94</f>
        <v>0</v>
      </c>
      <c r="H135" s="147">
        <f>-H134*Assumptions!$V$94</f>
        <v>0</v>
      </c>
      <c r="I135" s="147">
        <f>-I134*Assumptions!$V$94</f>
        <v>0</v>
      </c>
      <c r="J135" s="147">
        <f>-J134*Assumptions!$V$94</f>
        <v>0</v>
      </c>
      <c r="K135" s="147">
        <f ca="1">-K134*Assumptions!$V$94</f>
        <v>-7767464.0668031666</v>
      </c>
      <c r="L135" s="147">
        <f>-L134*Assumptions!$V$94</f>
        <v>0</v>
      </c>
      <c r="M135" s="147">
        <f>-M134*Assumptions!$V$94</f>
        <v>0</v>
      </c>
      <c r="N135" s="248">
        <f>-N134*Assumptions!$V$94</f>
        <v>0</v>
      </c>
      <c r="O135" s="248">
        <f>-O134*Assumptions!$V$94</f>
        <v>0</v>
      </c>
      <c r="P135" s="248">
        <f>-P134*Assumptions!$V$94</f>
        <v>0</v>
      </c>
      <c r="Q135" s="248">
        <f>-Q134*Assumptions!$V$94</f>
        <v>0</v>
      </c>
      <c r="R135" s="248">
        <f>-R134*Assumptions!$V$94</f>
        <v>0</v>
      </c>
    </row>
    <row r="136" spans="1:18">
      <c r="B136" s="249" t="s">
        <v>437</v>
      </c>
      <c r="C136" s="252"/>
      <c r="D136" s="217">
        <f>D135+D134</f>
        <v>0</v>
      </c>
      <c r="E136" s="217">
        <f t="shared" ref="E136:N136" si="120">E135+E134</f>
        <v>0</v>
      </c>
      <c r="F136" s="217">
        <f t="shared" si="120"/>
        <v>0</v>
      </c>
      <c r="G136" s="217">
        <f t="shared" si="120"/>
        <v>0</v>
      </c>
      <c r="H136" s="217">
        <f t="shared" si="120"/>
        <v>0</v>
      </c>
      <c r="I136" s="217">
        <f t="shared" si="120"/>
        <v>0</v>
      </c>
      <c r="J136" s="217">
        <f t="shared" si="120"/>
        <v>0</v>
      </c>
      <c r="K136" s="217">
        <f t="shared" ca="1" si="120"/>
        <v>380605739.27335519</v>
      </c>
      <c r="L136" s="217">
        <f t="shared" si="120"/>
        <v>0</v>
      </c>
      <c r="M136" s="217">
        <f t="shared" si="120"/>
        <v>0</v>
      </c>
      <c r="N136" s="250">
        <f t="shared" si="120"/>
        <v>0</v>
      </c>
      <c r="O136" s="250">
        <f t="shared" ref="O136" si="121">O135+O134</f>
        <v>0</v>
      </c>
      <c r="P136" s="250">
        <f t="shared" ref="P136" si="122">P135+P134</f>
        <v>0</v>
      </c>
      <c r="Q136" s="250">
        <f t="shared" ref="Q136" si="123">Q135+Q134</f>
        <v>0</v>
      </c>
      <c r="R136" s="250">
        <f t="shared" ref="R136" si="124">R135+R134</f>
        <v>0</v>
      </c>
    </row>
    <row r="137" spans="1:18" ht="17.100000000000001" thickBot="1">
      <c r="B137" s="128"/>
      <c r="C137" s="128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</row>
    <row r="138" spans="1:18" ht="17.100000000000001" thickBot="1">
      <c r="B138" s="287" t="s">
        <v>438</v>
      </c>
      <c r="C138" s="291"/>
      <c r="D138" s="289">
        <f ca="1">D136+D130</f>
        <v>0</v>
      </c>
      <c r="E138" s="289">
        <f t="shared" ref="E138:N138" ca="1" si="125">E136+E130</f>
        <v>0</v>
      </c>
      <c r="F138" s="289">
        <f t="shared" ca="1" si="125"/>
        <v>-1562713.6133928595</v>
      </c>
      <c r="G138" s="289">
        <f t="shared" ca="1" si="125"/>
        <v>-7079630.4275132371</v>
      </c>
      <c r="H138" s="289">
        <f t="shared" ca="1" si="125"/>
        <v>-396209.55864347937</v>
      </c>
      <c r="I138" s="289">
        <f t="shared" ca="1" si="125"/>
        <v>1390159.7247969881</v>
      </c>
      <c r="J138" s="289">
        <f t="shared" ca="1" si="125"/>
        <v>2043734.7511580046</v>
      </c>
      <c r="K138" s="289">
        <f t="shared" ca="1" si="125"/>
        <v>125401815.51532778</v>
      </c>
      <c r="L138" s="289">
        <f t="shared" si="125"/>
        <v>0</v>
      </c>
      <c r="M138" s="289">
        <f t="shared" si="125"/>
        <v>0</v>
      </c>
      <c r="N138" s="290">
        <f t="shared" si="125"/>
        <v>0</v>
      </c>
      <c r="O138" s="290">
        <f t="shared" ref="O138:R138" si="126">O136+O130</f>
        <v>0</v>
      </c>
      <c r="P138" s="290">
        <f t="shared" si="126"/>
        <v>0</v>
      </c>
      <c r="Q138" s="290">
        <f t="shared" si="126"/>
        <v>0</v>
      </c>
      <c r="R138" s="290">
        <f t="shared" si="126"/>
        <v>0</v>
      </c>
    </row>
    <row r="139" spans="1:18">
      <c r="B139" s="125"/>
      <c r="C139" s="125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</row>
    <row r="140" spans="1:18" ht="18">
      <c r="B140" s="302" t="s">
        <v>16</v>
      </c>
      <c r="C140" s="280"/>
      <c r="D140" s="284"/>
      <c r="E140" s="284"/>
      <c r="F140" s="284"/>
      <c r="G140" s="284"/>
      <c r="H140" s="284"/>
      <c r="I140" s="284"/>
      <c r="J140" s="284"/>
      <c r="K140" s="284"/>
      <c r="L140" s="284"/>
      <c r="M140" s="284"/>
      <c r="N140" s="284"/>
      <c r="O140" s="284"/>
      <c r="P140" s="284"/>
      <c r="Q140" s="284"/>
      <c r="R140" s="284"/>
    </row>
    <row r="141" spans="1:18">
      <c r="B141" s="123" t="s">
        <v>215</v>
      </c>
      <c r="C141" s="147">
        <f>SUM(D141:N141)</f>
        <v>-56664292</v>
      </c>
      <c r="D141" s="147">
        <f>-IF(AND(D70&gt;Assumptions!$D$4,D70&lt;=Assumptions!$E$4),'Sources&amp;Uses'!$F$17/ROUNDUP(Assumptions!$E$2/12,0),0)</f>
        <v>0</v>
      </c>
      <c r="E141" s="147">
        <f>-IF(AND(E70&gt;Assumptions!$D$4,E70&lt;=Assumptions!$E$4),'Sources&amp;Uses'!$F$17/ROUNDUP(Assumptions!$E$2/12,0),0)</f>
        <v>-56664292</v>
      </c>
      <c r="F141" s="147">
        <f>-IF(AND(F70&gt;Assumptions!$D$4,F70&lt;=Assumptions!$E$4),'Sources&amp;Uses'!$F$17/ROUNDUP(Assumptions!$E$2/12,0),0)</f>
        <v>0</v>
      </c>
      <c r="G141" s="147">
        <f>-IF(AND(G70&gt;Assumptions!$D$4,G70&lt;=Assumptions!$E$4),'Sources&amp;Uses'!$F$17/ROUNDUP(Assumptions!$E$2/12,0),0)</f>
        <v>0</v>
      </c>
      <c r="H141" s="147">
        <f>-IF(AND(H70&gt;Assumptions!$D$4,H70&lt;=Assumptions!$E$4),'Sources&amp;Uses'!$F$17/ROUNDUP(Assumptions!$E$2/12,0),0)</f>
        <v>0</v>
      </c>
      <c r="I141" s="147">
        <f>-IF(AND(I70&gt;Assumptions!$D$4,I70&lt;=Assumptions!$E$4),'Sources&amp;Uses'!$F$17/ROUNDUP(Assumptions!$E$2/12,0),0)</f>
        <v>0</v>
      </c>
      <c r="J141" s="147">
        <f>-IF(AND(J70&gt;Assumptions!$D$4,J70&lt;=Assumptions!$E$4),'Sources&amp;Uses'!$F$17/ROUNDUP(Assumptions!$E$2/12,0),0)</f>
        <v>0</v>
      </c>
      <c r="K141" s="147">
        <f>-IF(AND(K70&gt;Assumptions!$D$4,K70&lt;=Assumptions!$E$4),'Sources&amp;Uses'!$F$17/ROUNDUP(Assumptions!$E$2/12,0),0)</f>
        <v>0</v>
      </c>
      <c r="L141" s="147">
        <f>-IF(AND(L70&gt;Assumptions!$D$4,L70&lt;=Assumptions!$E$4),'Sources&amp;Uses'!$F$17/ROUNDUP(Assumptions!$E$2/12,0),0)</f>
        <v>0</v>
      </c>
      <c r="M141" s="147">
        <f>-IF(AND(M70&gt;Assumptions!$D$4,M70&lt;=Assumptions!$E$4),'Sources&amp;Uses'!$F$17/ROUNDUP(Assumptions!$E$2/12,0),0)</f>
        <v>0</v>
      </c>
      <c r="N141" s="147">
        <f>-IF(AND(N70&gt;Assumptions!$D$4,N70&lt;=Assumptions!$E$4),'Sources&amp;Uses'!$F$17/ROUNDUP(Assumptions!$E$2/12,0),0)</f>
        <v>0</v>
      </c>
      <c r="O141" s="147">
        <f>-IF(AND(O70&gt;Assumptions!$D$4,O70&lt;=Assumptions!$E$4),'Sources&amp;Uses'!$F$17/ROUNDUP(Assumptions!$E$2/12,0),0)</f>
        <v>0</v>
      </c>
      <c r="P141" s="147">
        <f>-IF(AND(P70&gt;Assumptions!$D$4,P70&lt;=Assumptions!$E$4),'Sources&amp;Uses'!$F$17/ROUNDUP(Assumptions!$E$2/12,0),0)</f>
        <v>0</v>
      </c>
      <c r="Q141" s="147">
        <f>-IF(AND(Q70&gt;Assumptions!$D$4,Q70&lt;=Assumptions!$E$4),'Sources&amp;Uses'!$F$17/ROUNDUP(Assumptions!$E$2/12,0),0)</f>
        <v>0</v>
      </c>
      <c r="R141" s="147">
        <f>-IF(AND(R70&gt;Assumptions!$D$4,R70&lt;=Assumptions!$E$4),'Sources&amp;Uses'!$F$17/ROUNDUP(Assumptions!$E$2/12,0),0)</f>
        <v>0</v>
      </c>
    </row>
    <row r="142" spans="1:18">
      <c r="B142" s="123" t="s">
        <v>66</v>
      </c>
      <c r="C142" s="147">
        <f t="shared" ref="C142:C148" ca="1" si="127">SUM(D142:N142)</f>
        <v>-21617037.449999999</v>
      </c>
      <c r="D142" s="147">
        <f>-IF(AND(D$70&gt;Assumptions!$E$4,D$70&lt;=Assumptions!$F$4),'Sources&amp;Uses'!$F$18/ROUNDUP(Assumptions!$F$2/12,0),0)</f>
        <v>0</v>
      </c>
      <c r="E142" s="147">
        <f>-IF(AND(E$70&gt;Assumptions!$E$4,E$70&lt;=Assumptions!$F$4),'Sources&amp;Uses'!$F$18/ROUNDUP(Assumptions!$F$2/12,0),0)</f>
        <v>0</v>
      </c>
      <c r="F142" s="147">
        <f ca="1">-IF(AND(F$70&gt;Assumptions!$E$4,F$70&lt;=Assumptions!$F$4),'Sources&amp;Uses'!$F$18/ROUNDUP(Assumptions!$F$2/12,0),0)</f>
        <v>-7205679.1499999994</v>
      </c>
      <c r="G142" s="147">
        <f ca="1">-IF(AND(G$70&gt;Assumptions!$E$4,G$70&lt;=Assumptions!$F$4),'Sources&amp;Uses'!$F$18/ROUNDUP(Assumptions!$F$2/12,0),0)</f>
        <v>-7205679.1499999994</v>
      </c>
      <c r="H142" s="147">
        <f ca="1">-IF(AND(H$70&gt;Assumptions!$E$4,H$70&lt;=Assumptions!$F$4),'Sources&amp;Uses'!$F$18/ROUNDUP(Assumptions!$F$2/12,0),0)</f>
        <v>-7205679.1499999994</v>
      </c>
      <c r="I142" s="147">
        <f>-IF(AND(I$70&gt;Assumptions!$E$4,I$70&lt;=Assumptions!$F$4),'Sources&amp;Uses'!$F$18/ROUNDUP(Assumptions!$F$2/12,0),0)</f>
        <v>0</v>
      </c>
      <c r="J142" s="147">
        <f>-IF(AND(J$70&gt;Assumptions!$E$4,J$70&lt;=Assumptions!$F$4),'Sources&amp;Uses'!$F$18/ROUNDUP(Assumptions!$F$2/12,0),0)</f>
        <v>0</v>
      </c>
      <c r="K142" s="147">
        <f>-IF(AND(K$70&gt;Assumptions!$E$4,K$70&lt;=Assumptions!$F$4),'Sources&amp;Uses'!$F$18/ROUNDUP(Assumptions!$F$2/12,0),0)</f>
        <v>0</v>
      </c>
      <c r="L142" s="147">
        <f>-IF(AND(L$70&gt;Assumptions!$E$4,L$70&lt;=Assumptions!$F$4),'Sources&amp;Uses'!$F$18/ROUNDUP(Assumptions!$F$2/12,0),0)</f>
        <v>0</v>
      </c>
      <c r="M142" s="147">
        <f>-IF(AND(M$70&gt;Assumptions!$E$4,M$70&lt;=Assumptions!$F$4),'Sources&amp;Uses'!$F$18/ROUNDUP(Assumptions!$F$2/12,0),0)</f>
        <v>0</v>
      </c>
      <c r="N142" s="147">
        <f>-IF(AND(N$70&gt;Assumptions!$E$4,N$70&lt;=Assumptions!$F$4),'Sources&amp;Uses'!$F$18/ROUNDUP(Assumptions!$F$2/12,0),0)</f>
        <v>0</v>
      </c>
      <c r="O142" s="147">
        <f>-IF(AND(O$70&gt;Assumptions!$E$4,O$70&lt;=Assumptions!$F$4),'Sources&amp;Uses'!$F$18/ROUNDUP(Assumptions!$F$2/12,0),0)</f>
        <v>0</v>
      </c>
      <c r="P142" s="147">
        <f>-IF(AND(P$70&gt;Assumptions!$E$4,P$70&lt;=Assumptions!$F$4),'Sources&amp;Uses'!$F$18/ROUNDUP(Assumptions!$F$2/12,0),0)</f>
        <v>0</v>
      </c>
      <c r="Q142" s="147">
        <f>-IF(AND(Q$70&gt;Assumptions!$E$4,Q$70&lt;=Assumptions!$F$4),'Sources&amp;Uses'!$F$18/ROUNDUP(Assumptions!$F$2/12,0),0)</f>
        <v>0</v>
      </c>
      <c r="R142" s="147">
        <f>-IF(AND(R$70&gt;Assumptions!$E$4,R$70&lt;=Assumptions!$F$4),'Sources&amp;Uses'!$F$18/ROUNDUP(Assumptions!$F$2/12,0),0)</f>
        <v>0</v>
      </c>
    </row>
    <row r="143" spans="1:18">
      <c r="A143" s="146"/>
      <c r="B143" s="123" t="s">
        <v>17</v>
      </c>
      <c r="C143" s="147">
        <f ca="1">SUM(D143:N143)</f>
        <v>-255568696.9583196</v>
      </c>
      <c r="D143" s="147">
        <f>-IF(AND(D$70&gt;Assumptions!$E$4,D$70&lt;=Assumptions!$F$4),'Sources&amp;Uses'!$F$19/ROUNDUP(Assumptions!$F$2/12,0),0)</f>
        <v>0</v>
      </c>
      <c r="E143" s="147">
        <f>-IF(AND(E$70&gt;Assumptions!$E$4,E$70&lt;=Assumptions!$F$4),'Sources&amp;Uses'!$F$19/ROUNDUP(Assumptions!$F$2/12,0),0)</f>
        <v>0</v>
      </c>
      <c r="F143" s="147">
        <f ca="1">-IF(AND(F$70&gt;Assumptions!$E$4,F$70&lt;=Assumptions!$F$4),'Sources&amp;Uses'!$F$19/ROUNDUP(Assumptions!$F$2/12,0),0)</f>
        <v>-85189565.652773201</v>
      </c>
      <c r="G143" s="147">
        <f ca="1">-IF(AND(G$70&gt;Assumptions!$E$4,G$70&lt;=Assumptions!$F$4),'Sources&amp;Uses'!$F$19/ROUNDUP(Assumptions!$F$2/12,0),0)</f>
        <v>-85189565.652773201</v>
      </c>
      <c r="H143" s="147">
        <f ca="1">-IF(AND(H$70&gt;Assumptions!$E$4,H$70&lt;=Assumptions!$F$4),'Sources&amp;Uses'!$F$19/ROUNDUP(Assumptions!$F$2/12,0),0)</f>
        <v>-85189565.652773201</v>
      </c>
      <c r="I143" s="147">
        <f>-IF(AND(I$70&gt;Assumptions!$E$4,I$70&lt;=Assumptions!$F$4),'Sources&amp;Uses'!$F$19/ROUNDUP(Assumptions!$F$2/12,0),0)</f>
        <v>0</v>
      </c>
      <c r="J143" s="147">
        <f>-IF(AND(J$70&gt;Assumptions!$E$4,J$70&lt;=Assumptions!$F$4),'Sources&amp;Uses'!$F$19/ROUNDUP(Assumptions!$F$2/12,0),0)</f>
        <v>0</v>
      </c>
      <c r="K143" s="147">
        <f>-IF(AND(K$70&gt;Assumptions!$E$4,K$70&lt;=Assumptions!$F$4),'Sources&amp;Uses'!$F$19/ROUNDUP(Assumptions!$F$2/12,0),0)</f>
        <v>0</v>
      </c>
      <c r="L143" s="147">
        <f>-IF(AND(L$70&gt;Assumptions!$E$4,L$70&lt;=Assumptions!$F$4),'Sources&amp;Uses'!$F$19/ROUNDUP(Assumptions!$F$2/12,0),0)</f>
        <v>0</v>
      </c>
      <c r="M143" s="147">
        <f>-IF(AND(M$70&gt;Assumptions!$E$4,M$70&lt;=Assumptions!$F$4),'Sources&amp;Uses'!$F$19/ROUNDUP(Assumptions!$F$2/12,0),0)</f>
        <v>0</v>
      </c>
      <c r="N143" s="147">
        <f>-IF(AND(N$70&gt;Assumptions!$E$4,N$70&lt;=Assumptions!$F$4),'Sources&amp;Uses'!$F$19/ROUNDUP(Assumptions!$F$2/12,0),0)</f>
        <v>0</v>
      </c>
      <c r="O143" s="147">
        <f>-IF(AND(O$70&gt;Assumptions!$E$4,O$70&lt;=Assumptions!$F$4),'Sources&amp;Uses'!$F$19/ROUNDUP(Assumptions!$F$2/12,0),0)</f>
        <v>0</v>
      </c>
      <c r="P143" s="147">
        <f>-IF(AND(P$70&gt;Assumptions!$E$4,P$70&lt;=Assumptions!$F$4),'Sources&amp;Uses'!$F$19/ROUNDUP(Assumptions!$F$2/12,0),0)</f>
        <v>0</v>
      </c>
      <c r="Q143" s="147">
        <f>-IF(AND(Q$70&gt;Assumptions!$E$4,Q$70&lt;=Assumptions!$F$4),'Sources&amp;Uses'!$F$19/ROUNDUP(Assumptions!$F$2/12,0),0)</f>
        <v>0</v>
      </c>
      <c r="R143" s="147">
        <f>-IF(AND(R$70&gt;Assumptions!$E$4,R$70&lt;=Assumptions!$F$4),'Sources&amp;Uses'!$F$19/ROUNDUP(Assumptions!$F$2/12,0),0)</f>
        <v>0</v>
      </c>
    </row>
    <row r="144" spans="1:18">
      <c r="B144" s="123" t="s">
        <v>19</v>
      </c>
      <c r="C144" s="147">
        <f t="shared" ca="1" si="127"/>
        <v>-69296433.602079898</v>
      </c>
      <c r="D144" s="147">
        <f>-IF(AND(D$70&gt;Assumptions!$E$4,D$70&lt;=Assumptions!$F$4),'Sources&amp;Uses'!$F$20/ROUNDUP(Assumptions!$F$2/12,0),0)</f>
        <v>0</v>
      </c>
      <c r="E144" s="147">
        <f>-IF(AND(E$70&gt;Assumptions!$E$4,E$70&lt;=Assumptions!$F$4),'Sources&amp;Uses'!$F$20/ROUNDUP(Assumptions!$F$2/12,0),0)</f>
        <v>0</v>
      </c>
      <c r="F144" s="147">
        <f ca="1">-IF(AND(F$70&gt;Assumptions!$E$4,F$70&lt;=Assumptions!$F$4),'Sources&amp;Uses'!$F$20/ROUNDUP(Assumptions!$F$2/12,0),0)</f>
        <v>-23098811.200693298</v>
      </c>
      <c r="G144" s="147">
        <f ca="1">-IF(AND(G$70&gt;Assumptions!$E$4,G$70&lt;=Assumptions!$F$4),'Sources&amp;Uses'!$F$20/ROUNDUP(Assumptions!$F$2/12,0),0)</f>
        <v>-23098811.200693298</v>
      </c>
      <c r="H144" s="147">
        <f ca="1">-IF(AND(H$70&gt;Assumptions!$E$4,H$70&lt;=Assumptions!$F$4),'Sources&amp;Uses'!$F$20/ROUNDUP(Assumptions!$F$2/12,0),0)</f>
        <v>-23098811.200693298</v>
      </c>
      <c r="I144" s="147">
        <f>-IF(AND(I$70&gt;Assumptions!$E$4,I$70&lt;=Assumptions!$F$4),'Sources&amp;Uses'!$F$20/ROUNDUP(Assumptions!$F$2/12,0),0)</f>
        <v>0</v>
      </c>
      <c r="J144" s="147">
        <f>-IF(AND(J$70&gt;Assumptions!$E$4,J$70&lt;=Assumptions!$F$4),'Sources&amp;Uses'!$F$20/ROUNDUP(Assumptions!$F$2/12,0),0)</f>
        <v>0</v>
      </c>
      <c r="K144" s="147">
        <f>-IF(AND(K$70&gt;Assumptions!$E$4,K$70&lt;=Assumptions!$F$4),'Sources&amp;Uses'!$F$20/ROUNDUP(Assumptions!$F$2/12,0),0)</f>
        <v>0</v>
      </c>
      <c r="L144" s="147">
        <f>-IF(AND(L$70&gt;Assumptions!$E$4,L$70&lt;=Assumptions!$F$4),'Sources&amp;Uses'!$F$20/ROUNDUP(Assumptions!$F$2/12,0),0)</f>
        <v>0</v>
      </c>
      <c r="M144" s="147">
        <f>-IF(AND(M$70&gt;Assumptions!$E$4,M$70&lt;=Assumptions!$F$4),'Sources&amp;Uses'!$F$20/ROUNDUP(Assumptions!$F$2/12,0),0)</f>
        <v>0</v>
      </c>
      <c r="N144" s="147">
        <f>-IF(AND(N$70&gt;Assumptions!$E$4,N$70&lt;=Assumptions!$F$4),'Sources&amp;Uses'!$F$20/ROUNDUP(Assumptions!$F$2/12,0),0)</f>
        <v>0</v>
      </c>
      <c r="O144" s="147">
        <f>-IF(AND(O$70&gt;Assumptions!$E$4,O$70&lt;=Assumptions!$F$4),'Sources&amp;Uses'!$F$20/ROUNDUP(Assumptions!$F$2/12,0),0)</f>
        <v>0</v>
      </c>
      <c r="P144" s="147">
        <f>-IF(AND(P$70&gt;Assumptions!$E$4,P$70&lt;=Assumptions!$F$4),'Sources&amp;Uses'!$F$20/ROUNDUP(Assumptions!$F$2/12,0),0)</f>
        <v>0</v>
      </c>
      <c r="Q144" s="147">
        <f>-IF(AND(Q$70&gt;Assumptions!$E$4,Q$70&lt;=Assumptions!$F$4),'Sources&amp;Uses'!$F$20/ROUNDUP(Assumptions!$F$2/12,0),0)</f>
        <v>0</v>
      </c>
      <c r="R144" s="147">
        <f>-IF(AND(R$70&gt;Assumptions!$E$4,R$70&lt;=Assumptions!$F$4),'Sources&amp;Uses'!$F$20/ROUNDUP(Assumptions!$F$2/12,0),0)</f>
        <v>0</v>
      </c>
    </row>
    <row r="145" spans="2:18">
      <c r="B145" s="123" t="s">
        <v>33</v>
      </c>
      <c r="C145" s="147">
        <f t="shared" ca="1" si="127"/>
        <v>-25064463.692893479</v>
      </c>
      <c r="D145" s="147">
        <f>-IF(AND(D$70&gt;Assumptions!$E$4,D$70&lt;=Assumptions!$F$4),'Sources&amp;Uses'!$F$21/ROUNDUP(Assumptions!$F$2/12,0),0)</f>
        <v>0</v>
      </c>
      <c r="E145" s="147">
        <f>-IF(AND(E$70&gt;Assumptions!$E$4,E$70&lt;=Assumptions!$F$4),'Sources&amp;Uses'!$F$21/ROUNDUP(Assumptions!$F$2/12,0),0)</f>
        <v>0</v>
      </c>
      <c r="F145" s="147">
        <f ca="1">-IF(AND(F$70&gt;Assumptions!$E$4,F$70&lt;=Assumptions!$F$4),'Sources&amp;Uses'!$F$21/ROUNDUP(Assumptions!$F$2/12,0),0)</f>
        <v>-8354821.230964493</v>
      </c>
      <c r="G145" s="147">
        <f ca="1">-IF(AND(G$70&gt;Assumptions!$E$4,G$70&lt;=Assumptions!$F$4),'Sources&amp;Uses'!$F$21/ROUNDUP(Assumptions!$F$2/12,0),0)</f>
        <v>-8354821.230964493</v>
      </c>
      <c r="H145" s="147">
        <f ca="1">-IF(AND(H$70&gt;Assumptions!$E$4,H$70&lt;=Assumptions!$F$4),'Sources&amp;Uses'!$F$21/ROUNDUP(Assumptions!$F$2/12,0),0)</f>
        <v>-8354821.230964493</v>
      </c>
      <c r="I145" s="147">
        <f>-IF(AND(I$70&gt;Assumptions!$E$4,I$70&lt;=Assumptions!$F$4),'Sources&amp;Uses'!$F$21/ROUNDUP(Assumptions!$F$2/12,0),0)</f>
        <v>0</v>
      </c>
      <c r="J145" s="147">
        <f>-IF(AND(J$70&gt;Assumptions!$E$4,J$70&lt;=Assumptions!$F$4),'Sources&amp;Uses'!$F$21/ROUNDUP(Assumptions!$F$2/12,0),0)</f>
        <v>0</v>
      </c>
      <c r="K145" s="147">
        <f>-IF(AND(K$70&gt;Assumptions!$E$4,K$70&lt;=Assumptions!$F$4),'Sources&amp;Uses'!$F$21/ROUNDUP(Assumptions!$F$2/12,0),0)</f>
        <v>0</v>
      </c>
      <c r="L145" s="147">
        <f>-IF(AND(L$70&gt;Assumptions!$E$4,L$70&lt;=Assumptions!$F$4),'Sources&amp;Uses'!$F$21/ROUNDUP(Assumptions!$F$2/12,0),0)</f>
        <v>0</v>
      </c>
      <c r="M145" s="147">
        <f>-IF(AND(M$70&gt;Assumptions!$E$4,M$70&lt;=Assumptions!$F$4),'Sources&amp;Uses'!$F$21/ROUNDUP(Assumptions!$F$2/12,0),0)</f>
        <v>0</v>
      </c>
      <c r="N145" s="147">
        <f>-IF(AND(N$70&gt;Assumptions!$E$4,N$70&lt;=Assumptions!$F$4),'Sources&amp;Uses'!$F$21/ROUNDUP(Assumptions!$F$2/12,0),0)</f>
        <v>0</v>
      </c>
      <c r="O145" s="147">
        <f>-IF(AND(O$70&gt;Assumptions!$E$4,O$70&lt;=Assumptions!$F$4),'Sources&amp;Uses'!$F$21/ROUNDUP(Assumptions!$F$2/12,0),0)</f>
        <v>0</v>
      </c>
      <c r="P145" s="147">
        <f>-IF(AND(P$70&gt;Assumptions!$E$4,P$70&lt;=Assumptions!$F$4),'Sources&amp;Uses'!$F$21/ROUNDUP(Assumptions!$F$2/12,0),0)</f>
        <v>0</v>
      </c>
      <c r="Q145" s="147">
        <f>-IF(AND(Q$70&gt;Assumptions!$E$4,Q$70&lt;=Assumptions!$F$4),'Sources&amp;Uses'!$F$21/ROUNDUP(Assumptions!$F$2/12,0),0)</f>
        <v>0</v>
      </c>
      <c r="R145" s="147">
        <f>-IF(AND(R$70&gt;Assumptions!$E$4,R$70&lt;=Assumptions!$F$4),'Sources&amp;Uses'!$F$21/ROUNDUP(Assumptions!$F$2/12,0),0)</f>
        <v>0</v>
      </c>
    </row>
    <row r="146" spans="2:18">
      <c r="B146" s="123" t="s">
        <v>22</v>
      </c>
      <c r="C146" s="147">
        <f t="shared" si="127"/>
        <v>-333333.33333333331</v>
      </c>
      <c r="D146" s="147">
        <f>-IF(AND(D$70&gt;Assumptions!$E$4,D$70&lt;=Assumptions!$F$4),'Sources&amp;Uses'!$F$22/ROUNDUP(Assumptions!$F$2/12,0),0)</f>
        <v>0</v>
      </c>
      <c r="E146" s="147">
        <f>-IF(AND(E$70&gt;Assumptions!$E$4,E$70&lt;=Assumptions!$F$4),'Sources&amp;Uses'!$F$22/ROUNDUP(Assumptions!$F$2/12,0),0)</f>
        <v>0</v>
      </c>
      <c r="F146" s="147">
        <f>-IF(AND(F$70&gt;Assumptions!$E$4,F$70&lt;=Assumptions!$F$4),'Sources&amp;Uses'!$F$22/ROUNDUP(Assumptions!$F$2/12,0),0)</f>
        <v>-111111.11111111111</v>
      </c>
      <c r="G146" s="147">
        <f>-IF(AND(G$70&gt;Assumptions!$E$4,G$70&lt;=Assumptions!$F$4),'Sources&amp;Uses'!$F$22/ROUNDUP(Assumptions!$F$2/12,0),0)</f>
        <v>-111111.11111111111</v>
      </c>
      <c r="H146" s="147">
        <f>-IF(AND(H$70&gt;Assumptions!$E$4,H$70&lt;=Assumptions!$F$4),'Sources&amp;Uses'!$F$22/ROUNDUP(Assumptions!$F$2/12,0),0)</f>
        <v>-111111.11111111111</v>
      </c>
      <c r="I146" s="147">
        <f>-IF(AND(I$70&gt;Assumptions!$E$4,I$70&lt;=Assumptions!$F$4),'Sources&amp;Uses'!$F$22/ROUNDUP(Assumptions!$F$2/12,0),0)</f>
        <v>0</v>
      </c>
      <c r="J146" s="147">
        <f>-IF(AND(J$70&gt;Assumptions!$E$4,J$70&lt;=Assumptions!$F$4),'Sources&amp;Uses'!$F$22/ROUNDUP(Assumptions!$F$2/12,0),0)</f>
        <v>0</v>
      </c>
      <c r="K146" s="147">
        <f>-IF(AND(K$70&gt;Assumptions!$E$4,K$70&lt;=Assumptions!$F$4),'Sources&amp;Uses'!$F$22/ROUNDUP(Assumptions!$F$2/12,0),0)</f>
        <v>0</v>
      </c>
      <c r="L146" s="147">
        <f>-IF(AND(L$70&gt;Assumptions!$E$4,L$70&lt;=Assumptions!$F$4),'Sources&amp;Uses'!$F$22/ROUNDUP(Assumptions!$F$2/12,0),0)</f>
        <v>0</v>
      </c>
      <c r="M146" s="147">
        <f>-IF(AND(M$70&gt;Assumptions!$E$4,M$70&lt;=Assumptions!$F$4),'Sources&amp;Uses'!$F$22/ROUNDUP(Assumptions!$F$2/12,0),0)</f>
        <v>0</v>
      </c>
      <c r="N146" s="147">
        <f>-IF(AND(N$70&gt;Assumptions!$E$4,N$70&lt;=Assumptions!$F$4),'Sources&amp;Uses'!$F$22/ROUNDUP(Assumptions!$F$2/12,0),0)</f>
        <v>0</v>
      </c>
      <c r="O146" s="147">
        <f>-IF(AND(O$70&gt;Assumptions!$E$4,O$70&lt;=Assumptions!$F$4),'Sources&amp;Uses'!$F$22/ROUNDUP(Assumptions!$F$2/12,0),0)</f>
        <v>0</v>
      </c>
      <c r="P146" s="147">
        <f>-IF(AND(P$70&gt;Assumptions!$E$4,P$70&lt;=Assumptions!$F$4),'Sources&amp;Uses'!$F$22/ROUNDUP(Assumptions!$F$2/12,0),0)</f>
        <v>0</v>
      </c>
      <c r="Q146" s="147">
        <f>-IF(AND(Q$70&gt;Assumptions!$E$4,Q$70&lt;=Assumptions!$F$4),'Sources&amp;Uses'!$F$22/ROUNDUP(Assumptions!$F$2/12,0),0)</f>
        <v>0</v>
      </c>
      <c r="R146" s="147">
        <f>-IF(AND(R$70&gt;Assumptions!$E$4,R$70&lt;=Assumptions!$F$4),'Sources&amp;Uses'!$F$22/ROUNDUP(Assumptions!$F$2/12,0),0)</f>
        <v>0</v>
      </c>
    </row>
    <row r="147" spans="2:18">
      <c r="B147" s="123" t="s">
        <v>238</v>
      </c>
      <c r="C147" s="147">
        <f t="shared" ca="1" si="127"/>
        <v>-10404465.040311985</v>
      </c>
      <c r="D147" s="147">
        <f>-IF(AND(D$70&gt;Assumptions!$E$4,D$70&lt;=Assumptions!$F$4),'Sources&amp;Uses'!$F$23/ROUNDUP(Assumptions!$F$2/12,0),0)</f>
        <v>0</v>
      </c>
      <c r="E147" s="147">
        <f>-IF(AND(E$70&gt;Assumptions!$E$4,E$70&lt;=Assumptions!$F$4),'Sources&amp;Uses'!$F$23/ROUNDUP(Assumptions!$F$2/12,0),0)</f>
        <v>0</v>
      </c>
      <c r="F147" s="147">
        <f ca="1">-IF(AND(F$70&gt;Assumptions!$E$4,F$70&lt;=Assumptions!$F$4),'Sources&amp;Uses'!$F$23/ROUNDUP(Assumptions!$F$2/12,0),0)</f>
        <v>-3468155.0134373284</v>
      </c>
      <c r="G147" s="147">
        <f ca="1">-IF(AND(G$70&gt;Assumptions!$E$4,G$70&lt;=Assumptions!$F$4),'Sources&amp;Uses'!$F$23/ROUNDUP(Assumptions!$F$2/12,0),0)</f>
        <v>-3468155.0134373284</v>
      </c>
      <c r="H147" s="147">
        <f ca="1">-IF(AND(H$70&gt;Assumptions!$E$4,H$70&lt;=Assumptions!$F$4),'Sources&amp;Uses'!$F$23/ROUNDUP(Assumptions!$F$2/12,0),0)</f>
        <v>-3468155.0134373284</v>
      </c>
      <c r="I147" s="147">
        <f>-IF(AND(I$70&gt;Assumptions!$E$4,I$70&lt;=Assumptions!$F$4),'Sources&amp;Uses'!$F$23/ROUNDUP(Assumptions!$F$2/12,0),0)</f>
        <v>0</v>
      </c>
      <c r="J147" s="147">
        <f>-IF(AND(J$70&gt;Assumptions!$E$4,J$70&lt;=Assumptions!$F$4),'Sources&amp;Uses'!$F$23/ROUNDUP(Assumptions!$F$2/12,0),0)</f>
        <v>0</v>
      </c>
      <c r="K147" s="147">
        <f>-IF(AND(K$70&gt;Assumptions!$E$4,K$70&lt;=Assumptions!$F$4),'Sources&amp;Uses'!$F$23/ROUNDUP(Assumptions!$F$2/12,0),0)</f>
        <v>0</v>
      </c>
      <c r="L147" s="147">
        <f>-IF(AND(L$70&gt;Assumptions!$E$4,L$70&lt;=Assumptions!$F$4),'Sources&amp;Uses'!$F$23/ROUNDUP(Assumptions!$F$2/12,0),0)</f>
        <v>0</v>
      </c>
      <c r="M147" s="147">
        <f>-IF(AND(M$70&gt;Assumptions!$E$4,M$70&lt;=Assumptions!$F$4),'Sources&amp;Uses'!$F$23/ROUNDUP(Assumptions!$F$2/12,0),0)</f>
        <v>0</v>
      </c>
      <c r="N147" s="147">
        <f>-IF(AND(N$70&gt;Assumptions!$E$4,N$70&lt;=Assumptions!$F$4),'Sources&amp;Uses'!$F$23/ROUNDUP(Assumptions!$F$2/12,0),0)</f>
        <v>0</v>
      </c>
      <c r="O147" s="147">
        <f>-IF(AND(O$70&gt;Assumptions!$E$4,O$70&lt;=Assumptions!$F$4),'Sources&amp;Uses'!$F$23/ROUNDUP(Assumptions!$F$2/12,0),0)</f>
        <v>0</v>
      </c>
      <c r="P147" s="147">
        <f>-IF(AND(P$70&gt;Assumptions!$E$4,P$70&lt;=Assumptions!$F$4),'Sources&amp;Uses'!$F$23/ROUNDUP(Assumptions!$F$2/12,0),0)</f>
        <v>0</v>
      </c>
      <c r="Q147" s="147">
        <f>-IF(AND(Q$70&gt;Assumptions!$E$4,Q$70&lt;=Assumptions!$F$4),'Sources&amp;Uses'!$F$23/ROUNDUP(Assumptions!$F$2/12,0),0)</f>
        <v>0</v>
      </c>
      <c r="R147" s="147">
        <f>-IF(AND(R$70&gt;Assumptions!$E$4,R$70&lt;=Assumptions!$F$4),'Sources&amp;Uses'!$F$23/ROUNDUP(Assumptions!$F$2/12,0),0)</f>
        <v>0</v>
      </c>
    </row>
    <row r="148" spans="2:18">
      <c r="B148" s="125" t="s">
        <v>58</v>
      </c>
      <c r="C148" s="147">
        <f t="shared" ca="1" si="127"/>
        <v>-438948722.07693827</v>
      </c>
      <c r="D148" s="147">
        <f>SUM(D141:D147)</f>
        <v>0</v>
      </c>
      <c r="E148" s="147">
        <f t="shared" ref="E148:N148" si="128">SUM(E141:E147)</f>
        <v>-56664292</v>
      </c>
      <c r="F148" s="147">
        <f t="shared" ca="1" si="128"/>
        <v>-127428143.35897943</v>
      </c>
      <c r="G148" s="147">
        <f t="shared" ca="1" si="128"/>
        <v>-127428143.35897943</v>
      </c>
      <c r="H148" s="147">
        <f t="shared" ca="1" si="128"/>
        <v>-127428143.35897943</v>
      </c>
      <c r="I148" s="147">
        <f t="shared" si="128"/>
        <v>0</v>
      </c>
      <c r="J148" s="147">
        <f t="shared" si="128"/>
        <v>0</v>
      </c>
      <c r="K148" s="147">
        <f t="shared" si="128"/>
        <v>0</v>
      </c>
      <c r="L148" s="147">
        <f t="shared" si="128"/>
        <v>0</v>
      </c>
      <c r="M148" s="147">
        <f t="shared" si="128"/>
        <v>0</v>
      </c>
      <c r="N148" s="147">
        <f t="shared" si="128"/>
        <v>0</v>
      </c>
      <c r="O148" s="147">
        <f t="shared" ref="O148" si="129">SUM(O141:O147)</f>
        <v>0</v>
      </c>
      <c r="P148" s="147">
        <f t="shared" ref="P148" si="130">SUM(P141:P147)</f>
        <v>0</v>
      </c>
      <c r="Q148" s="147">
        <f t="shared" ref="Q148" si="131">SUM(Q141:Q147)</f>
        <v>0</v>
      </c>
      <c r="R148" s="147">
        <f t="shared" ref="R148" si="132">SUM(R141:R147)</f>
        <v>0</v>
      </c>
    </row>
    <row r="149" spans="2:18">
      <c r="B149" s="125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</row>
    <row r="150" spans="2:18" ht="18">
      <c r="B150" s="302" t="s">
        <v>439</v>
      </c>
      <c r="C150" s="280"/>
      <c r="D150" s="285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86"/>
      <c r="R150" s="286"/>
    </row>
    <row r="151" spans="2:18">
      <c r="B151" s="123" t="str">
        <f>'Sources&amp;Uses'!$C$3</f>
        <v>Equity</v>
      </c>
      <c r="C151" s="147">
        <f ca="1">SUM(D151:N151)</f>
        <v>40497008.290518522</v>
      </c>
      <c r="D151" s="147">
        <f ca="1">MIN('Sources&amp;Uses'!$F$3,-'Phase I Pro Forma'!D148)</f>
        <v>0</v>
      </c>
      <c r="E151" s="147">
        <f ca="1">MIN('Sources&amp;Uses'!$F$3-SUM($D$151:D151),-'Phase I Pro Forma'!E148)</f>
        <v>40497008.290518522</v>
      </c>
      <c r="F151" s="147">
        <f ca="1">MIN('Sources&amp;Uses'!$F$3-SUM($D$151:E151),-'Phase I Pro Forma'!F148)</f>
        <v>0</v>
      </c>
      <c r="G151" s="147">
        <f ca="1">MIN('Sources&amp;Uses'!$F$3-SUM($D$151:F151),-'Phase I Pro Forma'!G148)</f>
        <v>0</v>
      </c>
      <c r="H151" s="147">
        <f ca="1">MIN('Sources&amp;Uses'!$F$3-SUM($D$151:G151),-'Phase I Pro Forma'!H148)</f>
        <v>0</v>
      </c>
      <c r="I151" s="147">
        <f ca="1">MIN('Sources&amp;Uses'!$F$3-SUM($D$151:H151),-'Phase I Pro Forma'!I148)</f>
        <v>0</v>
      </c>
      <c r="J151" s="147">
        <f ca="1">MIN('Sources&amp;Uses'!$F$3-SUM($D$151:I151),-'Phase I Pro Forma'!J148)</f>
        <v>0</v>
      </c>
      <c r="K151" s="147">
        <f ca="1">MIN('Sources&amp;Uses'!$F$3-SUM($D$151:J151),-'Phase I Pro Forma'!K148)</f>
        <v>0</v>
      </c>
      <c r="L151" s="147">
        <f ca="1">MIN('Sources&amp;Uses'!$F$3-SUM($D$151:K151),-'Phase I Pro Forma'!L148)</f>
        <v>0</v>
      </c>
      <c r="M151" s="147">
        <f ca="1">MIN('Sources&amp;Uses'!$F$3-SUM($D$151:L151),-'Phase I Pro Forma'!M148)</f>
        <v>0</v>
      </c>
      <c r="N151" s="147">
        <f ca="1">MIN('Sources&amp;Uses'!$F$3-SUM($D$151:M151),-'Phase I Pro Forma'!N148)</f>
        <v>0</v>
      </c>
      <c r="O151" s="147">
        <f ca="1">MIN('Sources&amp;Uses'!$F$3-SUM($D$151:N151),-'Phase I Pro Forma'!O148)</f>
        <v>0</v>
      </c>
      <c r="P151" s="147">
        <f ca="1">MIN('Sources&amp;Uses'!$F$3-SUM($D$151:O151),-'Phase I Pro Forma'!P148)</f>
        <v>0</v>
      </c>
      <c r="Q151" s="147">
        <f ca="1">MIN('Sources&amp;Uses'!$F$3-SUM($D$151:P151),-'Phase I Pro Forma'!Q148)</f>
        <v>0</v>
      </c>
      <c r="R151" s="147">
        <f ca="1">MIN('Sources&amp;Uses'!$F$3-SUM($D$151:Q151),-'Phase I Pro Forma'!R148)</f>
        <v>0</v>
      </c>
    </row>
    <row r="152" spans="2:18">
      <c r="B152" s="123" t="str">
        <f>'Sources&amp;Uses'!$C$4</f>
        <v>PPP - City of Oakland/Alameda County</v>
      </c>
      <c r="C152" s="147">
        <f ca="1">SUM(D152:N152)</f>
        <v>23115787.925333332</v>
      </c>
      <c r="D152" s="147">
        <f ca="1">MIN('Sources&amp;Uses'!$F$4,-'Phase I Pro Forma'!D$148-SUM('Phase I Pro Forma'!D$151:'Phase I Pro Forma'!D151))</f>
        <v>0</v>
      </c>
      <c r="E152" s="147">
        <f ca="1">MIN('Sources&amp;Uses'!$F$4-SUM($D$152:D$152),-'Phase I Pro Forma'!E$148-SUM('Phase I Pro Forma'!E$151:'Phase I Pro Forma'!E151))</f>
        <v>16167283.709481478</v>
      </c>
      <c r="F152" s="147">
        <f ca="1">MIN('Sources&amp;Uses'!$F$4-SUM($D$152:E$152),-'Phase I Pro Forma'!F$148-SUM('Phase I Pro Forma'!F$151:'Phase I Pro Forma'!F151))</f>
        <v>6948504.2158518545</v>
      </c>
      <c r="G152" s="147">
        <f ca="1">MIN('Sources&amp;Uses'!$F$4-SUM($D$152:F$152),-'Phase I Pro Forma'!G$148-SUM('Phase I Pro Forma'!G$151:'Phase I Pro Forma'!G151))</f>
        <v>0</v>
      </c>
      <c r="H152" s="147">
        <f ca="1">MIN('Sources&amp;Uses'!$F$4-SUM($D$152:G$152),-'Phase I Pro Forma'!H$148-SUM('Phase I Pro Forma'!H$151:'Phase I Pro Forma'!H151))</f>
        <v>0</v>
      </c>
      <c r="I152" s="147">
        <f ca="1">MIN('Sources&amp;Uses'!$F$4-SUM($D$152:H$152),-'Phase I Pro Forma'!I$148-SUM('Phase I Pro Forma'!I$151:'Phase I Pro Forma'!I151))</f>
        <v>0</v>
      </c>
      <c r="J152" s="147">
        <f ca="1">MIN('Sources&amp;Uses'!$F$4-SUM($D$152:I$152),-'Phase I Pro Forma'!J$148-SUM('Phase I Pro Forma'!J$151:'Phase I Pro Forma'!J151))</f>
        <v>0</v>
      </c>
      <c r="K152" s="147">
        <f ca="1">MIN('Sources&amp;Uses'!$F$4-SUM($D$152:J$152),-'Phase I Pro Forma'!K$148-SUM('Phase I Pro Forma'!K$151:'Phase I Pro Forma'!K151))</f>
        <v>0</v>
      </c>
      <c r="L152" s="147">
        <f ca="1">MIN('Sources&amp;Uses'!$F$4-SUM($D$152:K$152),-'Phase I Pro Forma'!L$148-SUM('Phase I Pro Forma'!L$151:'Phase I Pro Forma'!L151))</f>
        <v>0</v>
      </c>
      <c r="M152" s="147">
        <f ca="1">MIN('Sources&amp;Uses'!$F$4-SUM($D$152:L$152),-'Phase I Pro Forma'!M$148-SUM('Phase I Pro Forma'!M$151:'Phase I Pro Forma'!M151))</f>
        <v>0</v>
      </c>
      <c r="N152" s="147">
        <f ca="1">MIN('Sources&amp;Uses'!$F$4-SUM($D$152:M$152),-'Phase I Pro Forma'!N$148-SUM('Phase I Pro Forma'!N$151:'Phase I Pro Forma'!N151))</f>
        <v>0</v>
      </c>
      <c r="O152" s="147">
        <f ca="1">MIN('Sources&amp;Uses'!$F$4-SUM($D$152:N$152),-'Phase I Pro Forma'!O$148-SUM('Phase I Pro Forma'!O$151:'Phase I Pro Forma'!O151))</f>
        <v>0</v>
      </c>
      <c r="P152" s="147">
        <f ca="1">MIN('Sources&amp;Uses'!$F$4-SUM($D$152:O$152),-'Phase I Pro Forma'!P$148-SUM('Phase I Pro Forma'!P$151:'Phase I Pro Forma'!P151))</f>
        <v>0</v>
      </c>
      <c r="Q152" s="147">
        <f ca="1">MIN('Sources&amp;Uses'!$F$4-SUM($D$152:P$152),-'Phase I Pro Forma'!Q$148-SUM('Phase I Pro Forma'!Q$151:'Phase I Pro Forma'!Q151))</f>
        <v>0</v>
      </c>
      <c r="R152" s="147">
        <f ca="1">MIN('Sources&amp;Uses'!$F$4-SUM($D$152:Q$152),-'Phase I Pro Forma'!R$148-SUM('Phase I Pro Forma'!R$151:'Phase I Pro Forma'!R151))</f>
        <v>0</v>
      </c>
    </row>
    <row r="153" spans="2:18">
      <c r="B153" s="123" t="str">
        <f>'Sources&amp;Uses'!$C$5</f>
        <v>PPP - Private Partners</v>
      </c>
      <c r="C153" s="147">
        <f ca="1">SUM(D153:N153)</f>
        <v>4905375</v>
      </c>
      <c r="D153" s="147">
        <f ca="1">MIN('Sources&amp;Uses'!$F$5,-'Phase I Pro Forma'!D$148-SUM('Phase I Pro Forma'!D$151:'Phase I Pro Forma'!D152))</f>
        <v>0</v>
      </c>
      <c r="E153" s="147">
        <f ca="1">MIN('Sources&amp;Uses'!$F$5-SUM($D$153:D$153),-'Phase I Pro Forma'!E$148-SUM('Phase I Pro Forma'!E$151:'Phase I Pro Forma'!E152))</f>
        <v>0</v>
      </c>
      <c r="F153" s="147">
        <f ca="1">MIN('Sources&amp;Uses'!$F$5-SUM($D$153:E153),-'Phase I Pro Forma'!F$148-SUM('Phase I Pro Forma'!F$151:'Phase I Pro Forma'!F152))</f>
        <v>4905375</v>
      </c>
      <c r="G153" s="147">
        <f ca="1">MIN('Sources&amp;Uses'!$F$5-SUM($D$153:F153),-'Phase I Pro Forma'!G$148-SUM('Phase I Pro Forma'!G$151:'Phase I Pro Forma'!G152))</f>
        <v>0</v>
      </c>
      <c r="H153" s="147">
        <f ca="1">MIN('Sources&amp;Uses'!$F$5-SUM($D$153:G153),-'Phase I Pro Forma'!H$148-SUM('Phase I Pro Forma'!H$151:'Phase I Pro Forma'!H152))</f>
        <v>0</v>
      </c>
      <c r="I153" s="147">
        <f ca="1">MIN('Sources&amp;Uses'!$F$5-SUM($D$153:H153),-'Phase I Pro Forma'!I$148-SUM('Phase I Pro Forma'!I$151:'Phase I Pro Forma'!I152))</f>
        <v>0</v>
      </c>
      <c r="J153" s="147">
        <f ca="1">MIN('Sources&amp;Uses'!$F$5-SUM($D$153:I153),-'Phase I Pro Forma'!J$148-SUM('Phase I Pro Forma'!J$151:'Phase I Pro Forma'!J152))</f>
        <v>0</v>
      </c>
      <c r="K153" s="147">
        <f ca="1">MIN('Sources&amp;Uses'!$F$5-SUM($D$153:J153),-'Phase I Pro Forma'!K$148-SUM('Phase I Pro Forma'!K$151:'Phase I Pro Forma'!K152))</f>
        <v>0</v>
      </c>
      <c r="L153" s="147">
        <f ca="1">MIN('Sources&amp;Uses'!$F$5-SUM($D$153:K153),-'Phase I Pro Forma'!L$148-SUM('Phase I Pro Forma'!L$151:'Phase I Pro Forma'!L152))</f>
        <v>0</v>
      </c>
      <c r="M153" s="147">
        <f ca="1">MIN('Sources&amp;Uses'!$F$5-SUM($D$153:L153),-'Phase I Pro Forma'!M$148-SUM('Phase I Pro Forma'!M$151:'Phase I Pro Forma'!M152))</f>
        <v>0</v>
      </c>
      <c r="N153" s="147">
        <f ca="1">MIN('Sources&amp;Uses'!$F$5-SUM($D$153:M153),-'Phase I Pro Forma'!N$148-SUM('Phase I Pro Forma'!N$151:'Phase I Pro Forma'!N152))</f>
        <v>0</v>
      </c>
      <c r="O153" s="147">
        <f ca="1">MIN('Sources&amp;Uses'!$F$5-SUM($D$153:N153),-'Phase I Pro Forma'!O$148-SUM('Phase I Pro Forma'!O$151:'Phase I Pro Forma'!O152))</f>
        <v>0</v>
      </c>
      <c r="P153" s="147">
        <f ca="1">MIN('Sources&amp;Uses'!$F$5-SUM($D$153:O153),-'Phase I Pro Forma'!P$148-SUM('Phase I Pro Forma'!P$151:'Phase I Pro Forma'!P152))</f>
        <v>0</v>
      </c>
      <c r="Q153" s="147">
        <f ca="1">MIN('Sources&amp;Uses'!$F$5-SUM($D$153:P153),-'Phase I Pro Forma'!Q$148-SUM('Phase I Pro Forma'!Q$151:'Phase I Pro Forma'!Q152))</f>
        <v>0</v>
      </c>
      <c r="R153" s="147">
        <f ca="1">MIN('Sources&amp;Uses'!$F$5-SUM($D$153:Q153),-'Phase I Pro Forma'!R$148-SUM('Phase I Pro Forma'!R$151:'Phase I Pro Forma'!R152))</f>
        <v>0</v>
      </c>
    </row>
    <row r="154" spans="2:18">
      <c r="B154" s="123" t="str">
        <f>'Sources&amp;Uses'!$C$6</f>
        <v xml:space="preserve">LIHTC </v>
      </c>
      <c r="C154" s="147">
        <f ca="1">SUM(D154:N154)</f>
        <v>61986317.548235297</v>
      </c>
      <c r="D154" s="147">
        <f ca="1">MIN('Sources&amp;Uses'!$F$6,-'Phase I Pro Forma'!D$148-SUM(D151:D153))</f>
        <v>0</v>
      </c>
      <c r="E154" s="147">
        <f ca="1">MIN('Sources&amp;Uses'!$F$6-SUM(D$154:D$154),-'Phase I Pro Forma'!E$148-SUM(E151:E153))</f>
        <v>0</v>
      </c>
      <c r="F154" s="147">
        <f ca="1">MIN('Sources&amp;Uses'!$F$6-SUM(D$154:E154),-'Phase I Pro Forma'!F$148-SUM(F151:F153))</f>
        <v>61986317.548235297</v>
      </c>
      <c r="G154" s="147">
        <f ca="1">MIN('Sources&amp;Uses'!$F$6-SUM(D$154:F154),-'Phase I Pro Forma'!G$148-SUM(G151:G153))</f>
        <v>0</v>
      </c>
      <c r="H154" s="147">
        <f ca="1">MIN('Sources&amp;Uses'!$F$6-SUM(D$154:G154),-'Phase I Pro Forma'!H$148-SUM(H151:H153))</f>
        <v>0</v>
      </c>
      <c r="I154" s="147">
        <f ca="1">MIN('Sources&amp;Uses'!$F$6-SUM(D$154:H154),-'Phase I Pro Forma'!I$148-SUM(I151:I153))</f>
        <v>0</v>
      </c>
      <c r="J154" s="147">
        <f ca="1">MIN('Sources&amp;Uses'!$F$6-SUM(D$154:I154),-'Phase I Pro Forma'!J$148-SUM(J151:J153))</f>
        <v>0</v>
      </c>
      <c r="K154" s="147">
        <f ca="1">MIN('Sources&amp;Uses'!$F$6-SUM(D$154:J154),-'Phase I Pro Forma'!K$148-SUM(K151:K153))</f>
        <v>0</v>
      </c>
      <c r="L154" s="147">
        <f ca="1">MIN('Sources&amp;Uses'!$F$6-SUM(D$154:K154),-'Phase I Pro Forma'!L$148-SUM(L151:L153))</f>
        <v>0</v>
      </c>
      <c r="M154" s="147">
        <f ca="1">MIN('Sources&amp;Uses'!$F$6-SUM(D$154:L154),-'Phase I Pro Forma'!M$148-SUM(M151:M153))</f>
        <v>0</v>
      </c>
      <c r="N154" s="147">
        <f ca="1">MIN('Sources&amp;Uses'!$F$6-SUM(D$154:M154),-'Phase I Pro Forma'!N$148-SUM(N151:N153))</f>
        <v>0</v>
      </c>
      <c r="O154" s="147">
        <f ca="1">MIN('Sources&amp;Uses'!$F$6-SUM(E$154:N154),-'Phase I Pro Forma'!O$148-SUM(O151:O153))</f>
        <v>0</v>
      </c>
      <c r="P154" s="147">
        <f ca="1">MIN('Sources&amp;Uses'!$F$6-SUM(F$154:O154),-'Phase I Pro Forma'!P$148-SUM(P151:P153))</f>
        <v>0</v>
      </c>
      <c r="Q154" s="147">
        <f ca="1">MIN('Sources&amp;Uses'!$F$6-SUM(G$154:P154),-'Phase I Pro Forma'!Q$148-SUM(Q151:Q153))</f>
        <v>0</v>
      </c>
      <c r="R154" s="147">
        <f ca="1">MIN('Sources&amp;Uses'!$F$6-SUM(H$154:Q154),-'Phase I Pro Forma'!R$148-SUM(R151:R153))</f>
        <v>0</v>
      </c>
    </row>
    <row r="155" spans="2:18">
      <c r="B155" s="123" t="str">
        <f>'Sources&amp;Uses'!$C$8</f>
        <v>CA TOD Housing Program (Infrastructure Grant)</v>
      </c>
      <c r="C155" s="147">
        <f ca="1">SUM(D155:N155)</f>
        <v>2500000</v>
      </c>
      <c r="D155" s="147">
        <f ca="1">MIN('Sources&amp;Uses'!$F$8,-'Phase I Pro Forma'!D$148-SUM(D151:D154))</f>
        <v>0</v>
      </c>
      <c r="E155" s="147">
        <f ca="1">MIN('Sources&amp;Uses'!$F$8-SUM(D$155),-'Phase I Pro Forma'!E$148-SUM(E151:E154))</f>
        <v>0</v>
      </c>
      <c r="F155" s="147">
        <f ca="1">MIN('Sources&amp;Uses'!$F$8-SUM(D$155:E$155),-'Phase I Pro Forma'!F$148-SUM(F151:F154))</f>
        <v>2500000</v>
      </c>
      <c r="G155" s="147">
        <f ca="1">MIN('Sources&amp;Uses'!$F$8-SUM(D$155:F$155),-'Phase I Pro Forma'!G$148-SUM(G151:G154))</f>
        <v>0</v>
      </c>
      <c r="H155" s="147">
        <f ca="1">MIN('Sources&amp;Uses'!$F$8-SUM(D$155:G$155),-'Phase I Pro Forma'!H$148-SUM(H151:H154))</f>
        <v>0</v>
      </c>
      <c r="I155" s="147">
        <f ca="1">MIN('Sources&amp;Uses'!$F$8-SUM(D$155:H$155),-'Phase I Pro Forma'!I$148-SUM(I151:I154))</f>
        <v>0</v>
      </c>
      <c r="J155" s="147">
        <f ca="1">MIN('Sources&amp;Uses'!$F$8-SUM(D$155:I$155),-'Phase I Pro Forma'!J$148-SUM(J151:J154))</f>
        <v>0</v>
      </c>
      <c r="K155" s="147">
        <f ca="1">MIN('Sources&amp;Uses'!$F$8-SUM(D$155:J$155),-'Phase I Pro Forma'!K$148-SUM(K151:K154))</f>
        <v>0</v>
      </c>
      <c r="L155" s="147">
        <f ca="1">MIN('Sources&amp;Uses'!$F$8-SUM(D$155:K$155),-'Phase I Pro Forma'!L$148-SUM(L151:L154))</f>
        <v>0</v>
      </c>
      <c r="M155" s="147">
        <f ca="1">MIN('Sources&amp;Uses'!$F$8-SUM(D$155:L$155),-'Phase I Pro Forma'!M$148-SUM(M151:M154))</f>
        <v>0</v>
      </c>
      <c r="N155" s="147">
        <f ca="1">MIN('Sources&amp;Uses'!$F$8-SUM(D$155:M$155),-'Phase I Pro Forma'!N$148-SUM(N151:N154))</f>
        <v>0</v>
      </c>
      <c r="O155" s="147">
        <f ca="1">MIN('Sources&amp;Uses'!$F$8-SUM(E$155:N$155),-'Phase I Pro Forma'!O$148-SUM(O151:O154))</f>
        <v>0</v>
      </c>
      <c r="P155" s="147">
        <f ca="1">MIN('Sources&amp;Uses'!$F$8-SUM(F$155:O$155),-'Phase I Pro Forma'!P$148-SUM(P151:P154))</f>
        <v>0</v>
      </c>
      <c r="Q155" s="147">
        <f ca="1">MIN('Sources&amp;Uses'!$F$8-SUM(G$155:P$155),-'Phase I Pro Forma'!Q$148-SUM(Q151:Q154))</f>
        <v>0</v>
      </c>
      <c r="R155" s="147">
        <f ca="1">MIN('Sources&amp;Uses'!$F$8-SUM(H$155:Q$155),-'Phase I Pro Forma'!R$148-SUM(R151:R154))</f>
        <v>0</v>
      </c>
    </row>
    <row r="156" spans="2:18">
      <c r="B156" s="123">
        <f>'Sources&amp;Uses'!$C$9</f>
        <v>0</v>
      </c>
      <c r="C156" s="147">
        <f ca="1">SUM(D156:N156)</f>
        <v>0</v>
      </c>
      <c r="D156" s="147">
        <f ca="1">MIN('Sources&amp;Uses'!$F$9,-'Phase I Pro Forma'!D$148-SUM(D151:D154))</f>
        <v>0</v>
      </c>
      <c r="E156" s="147">
        <f ca="1">MIN('Sources&amp;Uses'!$F$9-SUM(D$156),-'Phase I Pro Forma'!E$148-SUM(E151:E155))</f>
        <v>0</v>
      </c>
      <c r="F156" s="147">
        <f ca="1">MIN('Sources&amp;Uses'!$F$9-SUM(D$156:E156),-'Phase I Pro Forma'!F$148-SUM(F151:F155))</f>
        <v>0</v>
      </c>
      <c r="G156" s="147">
        <f ca="1">MIN('Sources&amp;Uses'!$F$9-SUM(D$156:F156),-'Phase I Pro Forma'!G$148-SUM(G151:G154))</f>
        <v>0</v>
      </c>
      <c r="H156" s="147">
        <f ca="1">MIN('Sources&amp;Uses'!$F$9-SUM(D$156:G156),-'Phase I Pro Forma'!H$148-SUM(H151:H154))</f>
        <v>0</v>
      </c>
      <c r="I156" s="147">
        <f ca="1">MIN('Sources&amp;Uses'!$F$9-SUM(D$156:H156),-'Phase I Pro Forma'!I$148-SUM(I151:I154))</f>
        <v>0</v>
      </c>
      <c r="J156" s="147">
        <f ca="1">MIN('Sources&amp;Uses'!$F$9-SUM(D$156:I156),-'Phase I Pro Forma'!J$148-SUM(J151:J154))</f>
        <v>0</v>
      </c>
      <c r="K156" s="147">
        <f ca="1">MIN('Sources&amp;Uses'!$F$9-SUM(D$156:J156),-'Phase I Pro Forma'!K$148-SUM(K151:K154))</f>
        <v>0</v>
      </c>
      <c r="L156" s="147">
        <f ca="1">MIN('Sources&amp;Uses'!$F$9-SUM(D$156:K156),-'Phase I Pro Forma'!L$148-SUM(L151:L154))</f>
        <v>0</v>
      </c>
      <c r="M156" s="147">
        <f ca="1">MIN('Sources&amp;Uses'!$F$9-SUM(D$156:L156),-'Phase I Pro Forma'!M$148-SUM(M151:M154))</f>
        <v>0</v>
      </c>
      <c r="N156" s="147">
        <f ca="1">MIN('Sources&amp;Uses'!$F$9-SUM(D$156:M156),-'Phase I Pro Forma'!N$148-SUM(N151:N154))</f>
        <v>0</v>
      </c>
      <c r="O156" s="147">
        <f ca="1">MIN('Sources&amp;Uses'!$F$9-SUM(E$156:N156),-'Phase I Pro Forma'!O$148-SUM(O151:O154))</f>
        <v>0</v>
      </c>
      <c r="P156" s="147">
        <f ca="1">MIN('Sources&amp;Uses'!$F$9-SUM(F$156:O156),-'Phase I Pro Forma'!P$148-SUM(P151:P154))</f>
        <v>0</v>
      </c>
      <c r="Q156" s="147">
        <f ca="1">MIN('Sources&amp;Uses'!$F$9-SUM(G$156:P156),-'Phase I Pro Forma'!Q$148-SUM(Q151:Q154))</f>
        <v>0</v>
      </c>
      <c r="R156" s="147">
        <f ca="1">MIN('Sources&amp;Uses'!$F$9-SUM(H$156:Q156),-'Phase I Pro Forma'!R$148-SUM(R151:R154))</f>
        <v>0</v>
      </c>
    </row>
    <row r="157" spans="2:18">
      <c r="B157" s="123" t="str">
        <f>'Sources&amp;Uses'!$C$10</f>
        <v>CA Strategic Growth Council (Aff Housing and Sustainable Communities)</v>
      </c>
      <c r="C157" s="147">
        <f ca="1">SUM(D157:N157)</f>
        <v>4500000</v>
      </c>
      <c r="D157" s="147">
        <f ca="1">MIN('Sources&amp;Uses'!$F$10,-'Phase I Pro Forma'!D$148-SUM(D151:D156))</f>
        <v>0</v>
      </c>
      <c r="E157" s="147">
        <f ca="1">MIN('Sources&amp;Uses'!$F$10-SUM(D$157),-'Phase I Pro Forma'!E$148-SUM(E151:E156))</f>
        <v>0</v>
      </c>
      <c r="F157" s="147">
        <f ca="1">MIN('Sources&amp;Uses'!$F$10-SUM(D$157:E157),-'Phase I Pro Forma'!F$148-SUM(F151:F156))</f>
        <v>4500000</v>
      </c>
      <c r="G157" s="147">
        <f ca="1">MIN('Sources&amp;Uses'!$F$10-SUM(D$157:F157),-'Phase I Pro Forma'!G$148-SUM(G151:G156))</f>
        <v>0</v>
      </c>
      <c r="H157" s="147">
        <f ca="1">MIN('Sources&amp;Uses'!$F$10-SUM(D$157:G157),-'Phase I Pro Forma'!H$148-SUM(H151:H156))</f>
        <v>0</v>
      </c>
      <c r="I157" s="147">
        <f ca="1">MIN('Sources&amp;Uses'!$F$10-SUM(D$157:H157),-'Phase I Pro Forma'!I$148-SUM(I151:I156))</f>
        <v>0</v>
      </c>
      <c r="J157" s="147">
        <f ca="1">MIN('Sources&amp;Uses'!$F$10-SUM(D$157:I157),-'Phase I Pro Forma'!J$148-SUM(J151:J156))</f>
        <v>0</v>
      </c>
      <c r="K157" s="147">
        <f ca="1">MIN('Sources&amp;Uses'!$F$10-SUM(D$157:J157),-'Phase I Pro Forma'!K$148-SUM(K151:K156))</f>
        <v>0</v>
      </c>
      <c r="L157" s="147">
        <f ca="1">MIN('Sources&amp;Uses'!$F$10-SUM(D$157:K157),-'Phase I Pro Forma'!L$148-SUM(L151:L156))</f>
        <v>0</v>
      </c>
      <c r="M157" s="147">
        <f ca="1">MIN('Sources&amp;Uses'!$F$10-SUM(D$157:L157),-'Phase I Pro Forma'!M$148-SUM(M151:M156))</f>
        <v>0</v>
      </c>
      <c r="N157" s="147">
        <f ca="1">MIN('Sources&amp;Uses'!$F$10-SUM(D$157:M157),-'Phase I Pro Forma'!N$148-SUM(N151:N156))</f>
        <v>0</v>
      </c>
      <c r="O157" s="147">
        <f ca="1">MIN('Sources&amp;Uses'!$F$10-SUM(E$157:N157),-'Phase I Pro Forma'!O$148-SUM(O151:O156))</f>
        <v>0</v>
      </c>
      <c r="P157" s="147">
        <f ca="1">MIN('Sources&amp;Uses'!$F$10-SUM(F$157:O157),-'Phase I Pro Forma'!P$148-SUM(P151:P156))</f>
        <v>0</v>
      </c>
      <c r="Q157" s="147">
        <f ca="1">MIN('Sources&amp;Uses'!$F$10-SUM(G$157:P157),-'Phase I Pro Forma'!Q$148-SUM(Q151:Q156))</f>
        <v>0</v>
      </c>
      <c r="R157" s="147">
        <f ca="1">MIN('Sources&amp;Uses'!$F$10-SUM(H$157:Q157),-'Phase I Pro Forma'!R$148-SUM(R151:R156))</f>
        <v>0</v>
      </c>
    </row>
    <row r="158" spans="2:18">
      <c r="B158" s="123" t="str">
        <f>'Sources&amp;Uses'!$C$11</f>
        <v>Senior Construction Loan</v>
      </c>
      <c r="C158" s="147">
        <f ca="1">SUM(D158:N158)</f>
        <v>285316669.35000986</v>
      </c>
      <c r="D158" s="147">
        <f ca="1">MIN('Sources&amp;Uses'!$F$11,-'Phase I Pro Forma'!D$148-SUM(D151:D157))</f>
        <v>0</v>
      </c>
      <c r="E158" s="147">
        <f ca="1">MIN('Sources&amp;Uses'!$F$11-SUM(D$158),-'Phase I Pro Forma'!E$148-SUM(E151:E157))</f>
        <v>0</v>
      </c>
      <c r="F158" s="147">
        <f ca="1">MIN('Sources&amp;Uses'!$F$11-SUM(D$158:E158),-'Phase I Pro Forma'!F$148-SUM(F151:F157))</f>
        <v>46587946.594892278</v>
      </c>
      <c r="G158" s="147">
        <f ca="1">MIN('Sources&amp;Uses'!$F$11-SUM(D$158:F158),-'Phase I Pro Forma'!G$148-SUM(G151:G157))</f>
        <v>127428143.35897943</v>
      </c>
      <c r="H158" s="147">
        <f ca="1">MIN('Sources&amp;Uses'!$F$11-SUM(D$158:G158),-'Phase I Pro Forma'!H$148-SUM(H151:H157))</f>
        <v>111300579.39613813</v>
      </c>
      <c r="I158" s="147">
        <f ca="1">MIN('Sources&amp;Uses'!$F$11-SUM(D$158:H158),-'Phase I Pro Forma'!I$148-SUM(I151:I157))</f>
        <v>0</v>
      </c>
      <c r="J158" s="147">
        <f ca="1">MIN('Sources&amp;Uses'!$F$11-SUM(D$158:I158),-'Phase I Pro Forma'!J$148-SUM(J151:J157))</f>
        <v>0</v>
      </c>
      <c r="K158" s="147">
        <f ca="1">MIN('Sources&amp;Uses'!$F$11-SUM(D$158:J158),-'Phase I Pro Forma'!K$148-SUM(K151:K157))</f>
        <v>0</v>
      </c>
      <c r="L158" s="147">
        <f ca="1">MIN('Sources&amp;Uses'!$F$11-SUM(D$158:K158),-'Phase I Pro Forma'!L$148-SUM(L151:L157))</f>
        <v>0</v>
      </c>
      <c r="M158" s="147">
        <f ca="1">MIN('Sources&amp;Uses'!$F$11-SUM(D$158:L158),-'Phase I Pro Forma'!M$148-SUM(M151:M157))</f>
        <v>0</v>
      </c>
      <c r="N158" s="147">
        <f ca="1">MIN('Sources&amp;Uses'!$F$11-SUM(D$158:M158),-'Phase I Pro Forma'!N$148-SUM(N151:N157))</f>
        <v>0</v>
      </c>
      <c r="O158" s="147">
        <f ca="1">MIN('Sources&amp;Uses'!$F$11-SUM(E$158:N158),-'Phase I Pro Forma'!O$148-SUM(O151:O157))</f>
        <v>0</v>
      </c>
      <c r="P158" s="147">
        <f ca="1">MIN('Sources&amp;Uses'!$F$11-SUM(F$158:O158),-'Phase I Pro Forma'!P$148-SUM(P151:P157))</f>
        <v>0</v>
      </c>
      <c r="Q158" s="147">
        <f ca="1">MIN('Sources&amp;Uses'!$F$11-SUM(G$158:P158),-'Phase I Pro Forma'!Q$148-SUM(Q151:Q157))</f>
        <v>0</v>
      </c>
      <c r="R158" s="147">
        <f ca="1">MIN('Sources&amp;Uses'!$F$11-SUM(H$158:Q158),-'Phase I Pro Forma'!R$148-SUM(R151:R157))</f>
        <v>0</v>
      </c>
    </row>
    <row r="159" spans="2:18">
      <c r="B159" s="123" t="str">
        <f>'Sources&amp;Uses'!$C$12</f>
        <v>TIF Loan</v>
      </c>
      <c r="C159" s="147">
        <f ca="1">SUM(D159:N159)</f>
        <v>16127563.962841302</v>
      </c>
      <c r="D159" s="147">
        <f ca="1">MIN('Sources&amp;Uses'!$F$12,-'Phase I Pro Forma'!D$148-SUM(D151:D158))</f>
        <v>0</v>
      </c>
      <c r="E159" s="147">
        <f ca="1">MIN('Sources&amp;Uses'!$F$12-SUM(D$159),-'Phase I Pro Forma'!E$148-SUM(E151:E158))</f>
        <v>0</v>
      </c>
      <c r="F159" s="147">
        <f ca="1">MIN('Sources&amp;Uses'!$F$12-SUM(D$159:E159),-'Phase I Pro Forma'!F$148-SUM(F151:F158))</f>
        <v>0</v>
      </c>
      <c r="G159" s="147">
        <f ca="1">MIN('Sources&amp;Uses'!$F$12-SUM(D$159:F159),-'Phase I Pro Forma'!G$148-SUM(G151:G158))</f>
        <v>0</v>
      </c>
      <c r="H159" s="147">
        <f ca="1">MIN('Sources&amp;Uses'!$F$12-SUM(D$159:G159),-'Phase I Pro Forma'!H$148-SUM(H151:H158))</f>
        <v>16127563.962841302</v>
      </c>
      <c r="I159" s="147">
        <f ca="1">MIN('Sources&amp;Uses'!$F$12-SUM(D$159:H159),-'Phase I Pro Forma'!I$148-SUM(I151:I158))</f>
        <v>0</v>
      </c>
      <c r="J159" s="147">
        <f ca="1">MIN('Sources&amp;Uses'!$F$12-SUM(D$159:I159),-'Phase I Pro Forma'!J$148-SUM(J151:J158))</f>
        <v>0</v>
      </c>
      <c r="K159" s="147">
        <f ca="1">MIN('Sources&amp;Uses'!$F$12-SUM(D$159:J159),-'Phase I Pro Forma'!K$148-SUM(K151:K158))</f>
        <v>0</v>
      </c>
      <c r="L159" s="147">
        <f ca="1">MIN('Sources&amp;Uses'!$F$12-SUM(D$159:K159),-'Phase I Pro Forma'!L$148-SUM(L151:L158))</f>
        <v>0</v>
      </c>
      <c r="M159" s="147">
        <f ca="1">MIN('Sources&amp;Uses'!$F$12-SUM(D$159:L159),-'Phase I Pro Forma'!M$148-SUM(M151:M158))</f>
        <v>0</v>
      </c>
      <c r="N159" s="147">
        <f ca="1">MIN('Sources&amp;Uses'!$F$12-SUM(D$159:M159),-'Phase I Pro Forma'!N$148-SUM(N151:N158))</f>
        <v>0</v>
      </c>
      <c r="O159" s="147">
        <f ca="1">MIN('Sources&amp;Uses'!$F$12-SUM(E$159:N159),-'Phase I Pro Forma'!O$148-SUM(O151:O158))</f>
        <v>0</v>
      </c>
      <c r="P159" s="147">
        <f ca="1">MIN('Sources&amp;Uses'!$F$12-SUM(F$159:O159),-'Phase I Pro Forma'!P$148-SUM(P151:P158))</f>
        <v>0</v>
      </c>
      <c r="Q159" s="147">
        <f ca="1">MIN('Sources&amp;Uses'!$F$12-SUM(G$159:P159),-'Phase I Pro Forma'!Q$148-SUM(Q151:Q158))</f>
        <v>0</v>
      </c>
      <c r="R159" s="147">
        <f ca="1">MIN('Sources&amp;Uses'!$F$12-SUM(H$159:Q159),-'Phase I Pro Forma'!R$148-SUM(R151:R158))</f>
        <v>0</v>
      </c>
    </row>
    <row r="160" spans="2:18">
      <c r="B160" s="125" t="s">
        <v>440</v>
      </c>
      <c r="C160" s="147">
        <f ca="1">SUM(D160:N160)</f>
        <v>438948722.07693827</v>
      </c>
      <c r="D160" s="147">
        <f ca="1">SUM(D151:D159)</f>
        <v>0</v>
      </c>
      <c r="E160" s="147">
        <f ca="1">SUM(E151:E159)</f>
        <v>56664292</v>
      </c>
      <c r="F160" s="147">
        <f ca="1">SUM(F151:F159)</f>
        <v>127428143.35897943</v>
      </c>
      <c r="G160" s="147">
        <f ca="1">SUM(G151:G159)</f>
        <v>127428143.35897943</v>
      </c>
      <c r="H160" s="147">
        <f ca="1">SUM(H151:H159)</f>
        <v>127428143.35897943</v>
      </c>
      <c r="I160" s="147">
        <f ca="1">SUM(I151:I159)</f>
        <v>0</v>
      </c>
      <c r="J160" s="147">
        <f ca="1">SUM(J151:J159)</f>
        <v>0</v>
      </c>
      <c r="K160" s="147">
        <f ca="1">SUM(K151:K159)</f>
        <v>0</v>
      </c>
      <c r="L160" s="147">
        <f ca="1">SUM(L151:L159)</f>
        <v>0</v>
      </c>
      <c r="M160" s="147">
        <f ca="1">SUM(M151:M159)</f>
        <v>0</v>
      </c>
      <c r="N160" s="147">
        <f ca="1">SUM(N151:N159)</f>
        <v>0</v>
      </c>
      <c r="O160" s="147">
        <f t="shared" ref="O160:R160" ca="1" si="133">SUM(O151:O159)</f>
        <v>0</v>
      </c>
      <c r="P160" s="147">
        <f t="shared" ca="1" si="133"/>
        <v>0</v>
      </c>
      <c r="Q160" s="147">
        <f t="shared" ca="1" si="133"/>
        <v>0</v>
      </c>
      <c r="R160" s="147">
        <f t="shared" ca="1" si="133"/>
        <v>0</v>
      </c>
    </row>
    <row r="161" spans="2:18">
      <c r="B161" s="125"/>
      <c r="C161" s="147"/>
      <c r="D161" s="34"/>
    </row>
    <row r="162" spans="2:18">
      <c r="B162" s="256" t="s">
        <v>441</v>
      </c>
      <c r="C162" s="147">
        <f ca="1">SUM(D162:N162)</f>
        <v>110635044.43640994</v>
      </c>
      <c r="D162" s="147">
        <f ca="1">D152+D153+D154+D156+D157+D159</f>
        <v>0</v>
      </c>
      <c r="E162" s="147">
        <f ca="1">E152+E153+E154+E156+E157+E159</f>
        <v>16167283.709481478</v>
      </c>
      <c r="F162" s="147">
        <f ca="1">F152+F153+F154+F156+F157+F159</f>
        <v>78340196.764087155</v>
      </c>
      <c r="G162" s="147">
        <f ca="1">G152+G153+G154+G156+G157+G159</f>
        <v>0</v>
      </c>
      <c r="H162" s="147">
        <f ca="1">H152+H153+H154+H156+H157+H159</f>
        <v>16127563.962841302</v>
      </c>
      <c r="I162" s="147">
        <f ca="1">I152+I153+I154+I156+I157+I159</f>
        <v>0</v>
      </c>
      <c r="J162" s="147">
        <f ca="1">J152+J153+J154+J156+J157+J159</f>
        <v>0</v>
      </c>
      <c r="K162" s="147">
        <f ca="1">K152+K153+K154+K156+K157+K159</f>
        <v>0</v>
      </c>
      <c r="L162" s="147">
        <f ca="1">L152+L153+L154+L156+L157+L159</f>
        <v>0</v>
      </c>
      <c r="M162" s="147">
        <f ca="1">M152+M153+M154+M156+M157+M159</f>
        <v>0</v>
      </c>
      <c r="N162" s="147">
        <f ca="1">N152+N153+N154+N156+N157+N159</f>
        <v>0</v>
      </c>
      <c r="O162" s="147">
        <f t="shared" ref="O162:R162" ca="1" si="134">O152+O153+O154+O156+O157+O159</f>
        <v>0</v>
      </c>
      <c r="P162" s="147">
        <f t="shared" ca="1" si="134"/>
        <v>0</v>
      </c>
      <c r="Q162" s="147">
        <f t="shared" ca="1" si="134"/>
        <v>0</v>
      </c>
      <c r="R162" s="147">
        <f t="shared" ca="1" si="134"/>
        <v>0</v>
      </c>
    </row>
    <row r="163" spans="2:18">
      <c r="B163" s="256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</row>
    <row r="164" spans="2:18" ht="18">
      <c r="B164" s="302" t="s">
        <v>442</v>
      </c>
      <c r="C164" s="284"/>
      <c r="D164" s="284"/>
      <c r="E164" s="284"/>
      <c r="F164" s="284"/>
      <c r="G164" s="284"/>
      <c r="H164" s="284"/>
      <c r="I164" s="284"/>
      <c r="J164" s="284"/>
      <c r="K164" s="284"/>
      <c r="L164" s="284"/>
      <c r="M164" s="284"/>
      <c r="N164" s="284"/>
      <c r="O164" s="284"/>
      <c r="P164" s="284"/>
      <c r="Q164" s="284"/>
      <c r="R164" s="284"/>
    </row>
    <row r="165" spans="2:18">
      <c r="B165" s="123" t="s">
        <v>443</v>
      </c>
      <c r="C165" s="147">
        <f ca="1">SUM(D165:N165)</f>
        <v>-40497008.290518522</v>
      </c>
      <c r="D165" s="147">
        <f ca="1">-D151</f>
        <v>0</v>
      </c>
      <c r="E165" s="147">
        <f ca="1">-E151</f>
        <v>-40497008.290518522</v>
      </c>
      <c r="F165" s="147">
        <f ca="1">-F151</f>
        <v>0</v>
      </c>
      <c r="G165" s="147">
        <f ca="1">-G151</f>
        <v>0</v>
      </c>
      <c r="H165" s="147">
        <f ca="1">-H151</f>
        <v>0</v>
      </c>
      <c r="I165" s="147">
        <f ca="1">-I151</f>
        <v>0</v>
      </c>
      <c r="J165" s="147">
        <f ca="1">-J151</f>
        <v>0</v>
      </c>
      <c r="K165" s="147">
        <f ca="1">-K151</f>
        <v>0</v>
      </c>
      <c r="L165" s="147">
        <f ca="1">-L151</f>
        <v>0</v>
      </c>
      <c r="M165" s="147">
        <f ca="1">-M151</f>
        <v>0</v>
      </c>
      <c r="N165" s="147">
        <f t="shared" ref="D165:N165" ca="1" si="135">-N151</f>
        <v>0</v>
      </c>
      <c r="O165" s="147">
        <f t="shared" ref="O165:R165" ca="1" si="136">-O151</f>
        <v>0</v>
      </c>
      <c r="P165" s="147">
        <f t="shared" ca="1" si="136"/>
        <v>0</v>
      </c>
      <c r="Q165" s="147">
        <f t="shared" ca="1" si="136"/>
        <v>0</v>
      </c>
      <c r="R165" s="147">
        <f t="shared" ca="1" si="136"/>
        <v>0</v>
      </c>
    </row>
    <row r="166" spans="2:18" ht="17.100000000000001" thickBot="1">
      <c r="B166" s="123" t="s">
        <v>444</v>
      </c>
      <c r="C166" s="147">
        <f ca="1">SUM(D166:N166)</f>
        <v>119797156.3917332</v>
      </c>
      <c r="D166" s="147">
        <f ca="1">D138</f>
        <v>0</v>
      </c>
      <c r="E166" s="147">
        <f t="shared" ref="E166:N166" ca="1" si="137">E138</f>
        <v>0</v>
      </c>
      <c r="F166" s="147">
        <f t="shared" ca="1" si="137"/>
        <v>-1562713.6133928595</v>
      </c>
      <c r="G166" s="147">
        <f t="shared" ca="1" si="137"/>
        <v>-7079630.4275132371</v>
      </c>
      <c r="H166" s="147">
        <f t="shared" ca="1" si="137"/>
        <v>-396209.55864347937</v>
      </c>
      <c r="I166" s="147">
        <f t="shared" ca="1" si="137"/>
        <v>1390159.7247969881</v>
      </c>
      <c r="J166" s="147">
        <f t="shared" ca="1" si="137"/>
        <v>2043734.7511580046</v>
      </c>
      <c r="K166" s="147">
        <f t="shared" ca="1" si="137"/>
        <v>125401815.51532778</v>
      </c>
      <c r="L166" s="147">
        <f t="shared" si="137"/>
        <v>0</v>
      </c>
      <c r="M166" s="147">
        <f t="shared" si="137"/>
        <v>0</v>
      </c>
      <c r="N166" s="147">
        <f t="shared" si="137"/>
        <v>0</v>
      </c>
      <c r="O166" s="147">
        <f t="shared" ref="O166:R166" si="138">O138</f>
        <v>0</v>
      </c>
      <c r="P166" s="147">
        <f t="shared" si="138"/>
        <v>0</v>
      </c>
      <c r="Q166" s="147">
        <f t="shared" si="138"/>
        <v>0</v>
      </c>
      <c r="R166" s="147">
        <f t="shared" si="138"/>
        <v>0</v>
      </c>
    </row>
    <row r="167" spans="2:18" ht="17.100000000000001" thickBot="1">
      <c r="B167" s="287" t="s">
        <v>445</v>
      </c>
      <c r="C167" s="289">
        <f ca="1">SUM(C165:C166)</f>
        <v>79300148.101214677</v>
      </c>
      <c r="D167" s="289">
        <f ca="1">D165+D166</f>
        <v>0</v>
      </c>
      <c r="E167" s="289">
        <f ca="1">E165+E166</f>
        <v>-40497008.290518522</v>
      </c>
      <c r="F167" s="289">
        <f ca="1">F165+F166</f>
        <v>-1562713.6133928595</v>
      </c>
      <c r="G167" s="289">
        <f ca="1">G165+G166</f>
        <v>-7079630.4275132371</v>
      </c>
      <c r="H167" s="289">
        <f ca="1">H165+H166</f>
        <v>-396209.55864347937</v>
      </c>
      <c r="I167" s="289">
        <f ca="1">I165+I166</f>
        <v>1390159.7247969881</v>
      </c>
      <c r="J167" s="289">
        <f ca="1">J165+J166</f>
        <v>2043734.7511580046</v>
      </c>
      <c r="K167" s="289">
        <f ca="1">K165+K166</f>
        <v>125401815.51532778</v>
      </c>
      <c r="L167" s="289">
        <f ca="1">L165+L166</f>
        <v>0</v>
      </c>
      <c r="M167" s="289">
        <f ca="1">M165+M166</f>
        <v>0</v>
      </c>
      <c r="N167" s="290">
        <f t="shared" ref="E167:N167" ca="1" si="139">N165+N166</f>
        <v>0</v>
      </c>
      <c r="O167" s="290">
        <f t="shared" ref="O167" ca="1" si="140">O165+O166</f>
        <v>0</v>
      </c>
      <c r="P167" s="290">
        <f t="shared" ref="P167" ca="1" si="141">P165+P166</f>
        <v>0</v>
      </c>
      <c r="Q167" s="290">
        <f t="shared" ref="Q167" ca="1" si="142">Q165+Q166</f>
        <v>0</v>
      </c>
      <c r="R167" s="290">
        <f t="shared" ref="R167" ca="1" si="143">R165+R166</f>
        <v>0</v>
      </c>
    </row>
    <row r="168" spans="2:18" ht="17.100000000000001" thickBot="1">
      <c r="B168" s="128"/>
      <c r="C168" s="128"/>
    </row>
    <row r="169" spans="2:18">
      <c r="B169" s="292" t="s">
        <v>446</v>
      </c>
      <c r="C169" s="293">
        <f ca="1">IRR(D167:N167)</f>
        <v>0.18399588582384685</v>
      </c>
      <c r="D169" s="34"/>
    </row>
    <row r="170" spans="2:18" ht="17.100000000000001" thickBot="1">
      <c r="B170" s="294" t="s">
        <v>447</v>
      </c>
      <c r="C170" s="295">
        <f ca="1">-C166/C165</f>
        <v>2.958172997183623</v>
      </c>
    </row>
    <row r="171" spans="2:18">
      <c r="B171" s="125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</row>
    <row r="172" spans="2:18">
      <c r="B172" s="125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</row>
    <row r="173" spans="2:18" ht="18">
      <c r="B173" s="302" t="s">
        <v>448</v>
      </c>
      <c r="C173" s="284"/>
      <c r="D173" s="279">
        <f>D2</f>
        <v>2022</v>
      </c>
      <c r="E173" s="279">
        <f>E2</f>
        <v>2023</v>
      </c>
      <c r="F173" s="279">
        <f>F2</f>
        <v>2024</v>
      </c>
      <c r="G173" s="279">
        <f>G2</f>
        <v>2025</v>
      </c>
      <c r="H173" s="279">
        <f>H2</f>
        <v>2026</v>
      </c>
      <c r="I173" s="279">
        <f>I2</f>
        <v>2027</v>
      </c>
      <c r="J173" s="279">
        <f>J2</f>
        <v>2028</v>
      </c>
      <c r="K173" s="279">
        <f>K2</f>
        <v>2029</v>
      </c>
      <c r="L173" s="279">
        <f>L2</f>
        <v>2030</v>
      </c>
      <c r="M173" s="279">
        <f>M2</f>
        <v>2031</v>
      </c>
      <c r="N173" s="279">
        <f>N2</f>
        <v>2032</v>
      </c>
      <c r="O173" s="279">
        <f>O2</f>
        <v>2033</v>
      </c>
      <c r="P173" s="279">
        <f>P2</f>
        <v>2034</v>
      </c>
      <c r="Q173" s="279">
        <f>Q2</f>
        <v>2035</v>
      </c>
      <c r="R173" s="279">
        <f>R2</f>
        <v>2036</v>
      </c>
    </row>
    <row r="174" spans="2:18">
      <c r="B174" s="280"/>
      <c r="C174" s="284"/>
      <c r="D174" s="281">
        <f>D3</f>
        <v>44926</v>
      </c>
      <c r="E174" s="281">
        <f>E3</f>
        <v>45291</v>
      </c>
      <c r="F174" s="281">
        <f>F3</f>
        <v>45657</v>
      </c>
      <c r="G174" s="281">
        <f>G3</f>
        <v>46022</v>
      </c>
      <c r="H174" s="281">
        <f>H3</f>
        <v>46387</v>
      </c>
      <c r="I174" s="281">
        <f>I3</f>
        <v>46752</v>
      </c>
      <c r="J174" s="281">
        <f>J3</f>
        <v>47118</v>
      </c>
      <c r="K174" s="281">
        <f>K3</f>
        <v>47483</v>
      </c>
      <c r="L174" s="281">
        <f>L3</f>
        <v>47848</v>
      </c>
      <c r="M174" s="281">
        <f>M3</f>
        <v>48213</v>
      </c>
      <c r="N174" s="281">
        <f>N3</f>
        <v>48579</v>
      </c>
      <c r="O174" s="281">
        <f>O3</f>
        <v>48944</v>
      </c>
      <c r="P174" s="281">
        <f>P3</f>
        <v>49309</v>
      </c>
      <c r="Q174" s="281">
        <f>Q3</f>
        <v>49674</v>
      </c>
      <c r="R174" s="281">
        <f>R3</f>
        <v>50040</v>
      </c>
    </row>
    <row r="175" spans="2:18">
      <c r="B175" s="136"/>
      <c r="C175" s="296"/>
      <c r="D175" s="297"/>
      <c r="E175" s="297"/>
      <c r="F175" s="297"/>
      <c r="G175" s="297"/>
      <c r="H175" s="297"/>
      <c r="I175" s="297"/>
      <c r="J175" s="297"/>
      <c r="K175" s="297"/>
      <c r="L175" s="297"/>
      <c r="M175" s="297"/>
      <c r="N175" s="297"/>
      <c r="O175" s="297"/>
      <c r="P175" s="297"/>
      <c r="Q175" s="297"/>
      <c r="R175" s="297"/>
    </row>
    <row r="176" spans="2:18">
      <c r="B176" s="124" t="s">
        <v>424</v>
      </c>
      <c r="C176" s="296"/>
      <c r="D176" s="147">
        <f ca="1">D113</f>
        <v>0</v>
      </c>
      <c r="E176" s="147">
        <f ca="1">E113</f>
        <v>0</v>
      </c>
      <c r="F176" s="147">
        <f ca="1">F113</f>
        <v>0</v>
      </c>
      <c r="G176" s="147">
        <f ca="1">G113</f>
        <v>0</v>
      </c>
      <c r="H176" s="147">
        <f ca="1">H113</f>
        <v>13703952.781931017</v>
      </c>
      <c r="I176" s="147">
        <f ca="1">I113</f>
        <v>18155232.402938195</v>
      </c>
      <c r="J176" s="147">
        <f ca="1">J113</f>
        <v>18684157.975231003</v>
      </c>
      <c r="K176" s="147">
        <f ca="1">K113</f>
        <v>19229286.030524537</v>
      </c>
      <c r="L176" s="147">
        <f ca="1">L113</f>
        <v>19791126.686940588</v>
      </c>
      <c r="M176" s="147">
        <f ca="1">M113</f>
        <v>20370206.360895555</v>
      </c>
      <c r="N176" s="147">
        <f ca="1">N113</f>
        <v>20967068.292107109</v>
      </c>
      <c r="O176" s="147">
        <f ca="1">O113</f>
        <v>21582273.085596438</v>
      </c>
      <c r="P176" s="147">
        <f ca="1">P113</f>
        <v>22216399.271238185</v>
      </c>
      <c r="Q176" s="147">
        <f ca="1">Q113</f>
        <v>22870043.881428033</v>
      </c>
      <c r="R176" s="147">
        <f ca="1">R113</f>
        <v>23543823.047456529</v>
      </c>
    </row>
    <row r="177" spans="2:18">
      <c r="B177" s="124" t="s">
        <v>449</v>
      </c>
      <c r="C177" s="296"/>
      <c r="D177" s="147">
        <f>D136</f>
        <v>0</v>
      </c>
      <c r="E177" s="147">
        <f t="shared" ref="E177:N177" si="144">E136</f>
        <v>0</v>
      </c>
      <c r="F177" s="147">
        <f t="shared" si="144"/>
        <v>0</v>
      </c>
      <c r="G177" s="147">
        <f t="shared" si="144"/>
        <v>0</v>
      </c>
      <c r="H177" s="147">
        <f t="shared" si="144"/>
        <v>0</v>
      </c>
      <c r="I177" s="147">
        <f t="shared" si="144"/>
        <v>0</v>
      </c>
      <c r="J177" s="147">
        <f t="shared" si="144"/>
        <v>0</v>
      </c>
      <c r="K177" s="147">
        <f t="shared" ca="1" si="144"/>
        <v>380605739.27335519</v>
      </c>
      <c r="L177" s="147">
        <f t="shared" si="144"/>
        <v>0</v>
      </c>
      <c r="M177" s="147">
        <f t="shared" si="144"/>
        <v>0</v>
      </c>
      <c r="N177" s="147">
        <f t="shared" si="144"/>
        <v>0</v>
      </c>
      <c r="O177" s="147">
        <f t="shared" ref="O177:R177" si="145">O136</f>
        <v>0</v>
      </c>
      <c r="P177" s="147">
        <f t="shared" si="145"/>
        <v>0</v>
      </c>
      <c r="Q177" s="147">
        <f t="shared" si="145"/>
        <v>0</v>
      </c>
      <c r="R177" s="147">
        <f t="shared" si="145"/>
        <v>0</v>
      </c>
    </row>
    <row r="178" spans="2:18">
      <c r="B178" s="124"/>
      <c r="C178" s="296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</row>
    <row r="179" spans="2:18" ht="18">
      <c r="B179" s="302" t="s">
        <v>16</v>
      </c>
      <c r="C179" s="280"/>
      <c r="D179" s="284"/>
      <c r="E179" s="284"/>
      <c r="F179" s="284"/>
      <c r="G179" s="284"/>
      <c r="H179" s="284"/>
      <c r="I179" s="284"/>
      <c r="J179" s="284"/>
      <c r="K179" s="284"/>
      <c r="L179" s="284"/>
      <c r="M179" s="284"/>
      <c r="N179" s="284"/>
      <c r="O179" s="284"/>
      <c r="P179" s="284"/>
      <c r="Q179" s="284"/>
      <c r="R179" s="284"/>
    </row>
    <row r="180" spans="2:18">
      <c r="B180" s="123" t="s">
        <v>215</v>
      </c>
      <c r="C180" s="147">
        <f>SUM(D180:N180)</f>
        <v>-56664292</v>
      </c>
      <c r="D180" s="147">
        <f>-IF(AND(D$70&gt;Assumptions!$D$4,D$70&lt;=Assumptions!$E$4),'Sources&amp;Uses'!$F$17/ROUNDUP(Assumptions!$E$2/12,0),0)</f>
        <v>0</v>
      </c>
      <c r="E180" s="147">
        <f>-IF(AND(E$70&gt;Assumptions!$D$4,E$70&lt;=Assumptions!$E$4),'Sources&amp;Uses'!$F$17/ROUNDUP(Assumptions!$E$2/12,0),0)</f>
        <v>-56664292</v>
      </c>
      <c r="F180" s="147">
        <f>-IF(AND(F$70&gt;Assumptions!$D$4,F$70&lt;=Assumptions!$E$4),'Sources&amp;Uses'!$F$17/ROUNDUP(Assumptions!$E$2/12,0),0)</f>
        <v>0</v>
      </c>
      <c r="G180" s="147">
        <f>-IF(AND(G$70&gt;Assumptions!$D$4,G$70&lt;=Assumptions!$E$4),'Sources&amp;Uses'!$F$17/ROUNDUP(Assumptions!$E$2/12,0),0)</f>
        <v>0</v>
      </c>
      <c r="H180" s="147">
        <f>-IF(AND(H$70&gt;Assumptions!$D$4,H$70&lt;=Assumptions!$E$4),'Sources&amp;Uses'!$F$17/ROUNDUP(Assumptions!$E$2/12,0),0)</f>
        <v>0</v>
      </c>
      <c r="I180" s="147">
        <f>-IF(AND(I$70&gt;Assumptions!$D$4,I$70&lt;=Assumptions!$E$4),'Sources&amp;Uses'!$F$17/ROUNDUP(Assumptions!$E$2/12,0),0)</f>
        <v>0</v>
      </c>
      <c r="J180" s="147">
        <f>-IF(AND(J$70&gt;Assumptions!$D$4,J$70&lt;=Assumptions!$E$4),'Sources&amp;Uses'!$F$17/ROUNDUP(Assumptions!$E$2/12,0),0)</f>
        <v>0</v>
      </c>
      <c r="K180" s="147">
        <f>-IF(AND(K$70&gt;Assumptions!$D$4,K$70&lt;=Assumptions!$E$4),'Sources&amp;Uses'!$F$17/ROUNDUP(Assumptions!$E$2/12,0),0)</f>
        <v>0</v>
      </c>
      <c r="L180" s="147">
        <f>-IF(AND(L$70&gt;Assumptions!$D$4,L$70&lt;=Assumptions!$E$4),'Sources&amp;Uses'!$F$17/ROUNDUP(Assumptions!$E$2/12,0),0)</f>
        <v>0</v>
      </c>
      <c r="M180" s="147">
        <f>-IF(AND(M$70&gt;Assumptions!$D$4,M$70&lt;=Assumptions!$E$4),'Sources&amp;Uses'!$F$17/ROUNDUP(Assumptions!$E$2/12,0),0)</f>
        <v>0</v>
      </c>
      <c r="N180" s="147">
        <f>-IF(AND(N$70&gt;Assumptions!$D$4,N$70&lt;=Assumptions!$E$4),'Sources&amp;Uses'!$F$17/ROUNDUP(Assumptions!$E$2/12,0),0)</f>
        <v>0</v>
      </c>
      <c r="O180" s="147">
        <f>-IF(AND(O$70&gt;Assumptions!$D$4,O$70&lt;=Assumptions!$E$4),'Sources&amp;Uses'!$F$17/ROUNDUP(Assumptions!$E$2/12,0),0)</f>
        <v>0</v>
      </c>
      <c r="P180" s="147">
        <f>-IF(AND(P$70&gt;Assumptions!$D$4,P$70&lt;=Assumptions!$E$4),'Sources&amp;Uses'!$F$17/ROUNDUP(Assumptions!$E$2/12,0),0)</f>
        <v>0</v>
      </c>
      <c r="Q180" s="147">
        <f>-IF(AND(Q$70&gt;Assumptions!$D$4,Q$70&lt;=Assumptions!$E$4),'Sources&amp;Uses'!$F$17/ROUNDUP(Assumptions!$E$2/12,0),0)</f>
        <v>0</v>
      </c>
      <c r="R180" s="147">
        <f>-IF(AND(R$70&gt;Assumptions!$D$4,R$70&lt;=Assumptions!$E$4),'Sources&amp;Uses'!$F$17/ROUNDUP(Assumptions!$E$2/12,0),0)</f>
        <v>0</v>
      </c>
    </row>
    <row r="181" spans="2:18">
      <c r="B181" s="123" t="s">
        <v>66</v>
      </c>
      <c r="C181" s="147">
        <f t="shared" ref="C181" ca="1" si="146">SUM(D181:N181)</f>
        <v>-21617037.449999999</v>
      </c>
      <c r="D181" s="147">
        <f>-IF(AND(D$70&gt;Assumptions!$E$4,D$70&lt;=Assumptions!$F$4),'Sources&amp;Uses'!$F$18/ROUNDUP(Assumptions!$F$2/12,0),0)</f>
        <v>0</v>
      </c>
      <c r="E181" s="147">
        <f>-IF(AND(E$70&gt;Assumptions!$E$4,E$70&lt;=Assumptions!$F$4),'Sources&amp;Uses'!$F$18/ROUNDUP(Assumptions!$F$2/12,0),0)</f>
        <v>0</v>
      </c>
      <c r="F181" s="147">
        <f ca="1">-IF(AND(F$70&gt;Assumptions!$E$4,F$70&lt;=Assumptions!$F$4),'Sources&amp;Uses'!$F$18/ROUNDUP(Assumptions!$F$2/12,0),0)</f>
        <v>-7205679.1499999994</v>
      </c>
      <c r="G181" s="147">
        <f ca="1">-IF(AND(G$70&gt;Assumptions!$E$4,G$70&lt;=Assumptions!$F$4),'Sources&amp;Uses'!$F$18/ROUNDUP(Assumptions!$F$2/12,0),0)</f>
        <v>-7205679.1499999994</v>
      </c>
      <c r="H181" s="147">
        <f ca="1">-IF(AND(H$70&gt;Assumptions!$E$4,H$70&lt;=Assumptions!$F$4),'Sources&amp;Uses'!$F$18/ROUNDUP(Assumptions!$F$2/12,0),0)</f>
        <v>-7205679.1499999994</v>
      </c>
      <c r="I181" s="147">
        <f>-IF(AND(I$70&gt;Assumptions!$E$4,I$70&lt;=Assumptions!$F$4),'Sources&amp;Uses'!$F$18/ROUNDUP(Assumptions!$F$2/12,0),0)</f>
        <v>0</v>
      </c>
      <c r="J181" s="147">
        <f>-IF(AND(J$70&gt;Assumptions!$E$4,J$70&lt;=Assumptions!$F$4),'Sources&amp;Uses'!$F$18/ROUNDUP(Assumptions!$F$2/12,0),0)</f>
        <v>0</v>
      </c>
      <c r="K181" s="147">
        <f>-IF(AND(K$70&gt;Assumptions!$E$4,K$70&lt;=Assumptions!$F$4),'Sources&amp;Uses'!$F$18/ROUNDUP(Assumptions!$F$2/12,0),0)</f>
        <v>0</v>
      </c>
      <c r="L181" s="147">
        <f>-IF(AND(L$70&gt;Assumptions!$E$4,L$70&lt;=Assumptions!$F$4),'Sources&amp;Uses'!$F$18/ROUNDUP(Assumptions!$F$2/12,0),0)</f>
        <v>0</v>
      </c>
      <c r="M181" s="147">
        <f>-IF(AND(M$70&gt;Assumptions!$E$4,M$70&lt;=Assumptions!$F$4),'Sources&amp;Uses'!$F$18/ROUNDUP(Assumptions!$F$2/12,0),0)</f>
        <v>0</v>
      </c>
      <c r="N181" s="147">
        <f>-IF(AND(N$70&gt;Assumptions!$E$4,N$70&lt;=Assumptions!$F$4),'Sources&amp;Uses'!$F$18/ROUNDUP(Assumptions!$F$2/12,0),0)</f>
        <v>0</v>
      </c>
      <c r="O181" s="147">
        <f>-IF(AND(O$70&gt;Assumptions!$E$4,O$70&lt;=Assumptions!$F$4),'Sources&amp;Uses'!$F$18/ROUNDUP(Assumptions!$F$2/12,0),0)</f>
        <v>0</v>
      </c>
      <c r="P181" s="147">
        <f>-IF(AND(P$70&gt;Assumptions!$E$4,P$70&lt;=Assumptions!$F$4),'Sources&amp;Uses'!$F$18/ROUNDUP(Assumptions!$F$2/12,0),0)</f>
        <v>0</v>
      </c>
      <c r="Q181" s="147">
        <f>-IF(AND(Q$70&gt;Assumptions!$E$4,Q$70&lt;=Assumptions!$F$4),'Sources&amp;Uses'!$F$18/ROUNDUP(Assumptions!$F$2/12,0),0)</f>
        <v>0</v>
      </c>
      <c r="R181" s="147">
        <f>-IF(AND(R$70&gt;Assumptions!$E$4,R$70&lt;=Assumptions!$F$4),'Sources&amp;Uses'!$F$18/ROUNDUP(Assumptions!$F$2/12,0),0)</f>
        <v>0</v>
      </c>
    </row>
    <row r="182" spans="2:18">
      <c r="B182" s="123" t="s">
        <v>17</v>
      </c>
      <c r="C182" s="147">
        <f ca="1">SUM(D182:N182)</f>
        <v>-255568696.9583196</v>
      </c>
      <c r="D182" s="147">
        <f>-IF(AND(D$70&gt;Assumptions!$E$4,D$70&lt;=Assumptions!$F$4),'Sources&amp;Uses'!$F$19/ROUNDUP(Assumptions!$F$2/12,0),0)</f>
        <v>0</v>
      </c>
      <c r="E182" s="147">
        <f>-IF(AND(E$70&gt;Assumptions!$E$4,E$70&lt;=Assumptions!$F$4),'Sources&amp;Uses'!$F$19/ROUNDUP(Assumptions!$F$2/12,0),0)</f>
        <v>0</v>
      </c>
      <c r="F182" s="147">
        <f ca="1">-IF(AND(F$70&gt;Assumptions!$E$4,F$70&lt;=Assumptions!$F$4),'Sources&amp;Uses'!$F$19/ROUNDUP(Assumptions!$F$2/12,0),0)</f>
        <v>-85189565.652773201</v>
      </c>
      <c r="G182" s="147">
        <f ca="1">-IF(AND(G$70&gt;Assumptions!$E$4,G$70&lt;=Assumptions!$F$4),'Sources&amp;Uses'!$F$19/ROUNDUP(Assumptions!$F$2/12,0),0)</f>
        <v>-85189565.652773201</v>
      </c>
      <c r="H182" s="147">
        <f ca="1">-IF(AND(H$70&gt;Assumptions!$E$4,H$70&lt;=Assumptions!$F$4),'Sources&amp;Uses'!$F$19/ROUNDUP(Assumptions!$F$2/12,0),0)</f>
        <v>-85189565.652773201</v>
      </c>
      <c r="I182" s="147">
        <f>-IF(AND(I$70&gt;Assumptions!$E$4,I$70&lt;=Assumptions!$F$4),'Sources&amp;Uses'!$F$19/ROUNDUP(Assumptions!$F$2/12,0),0)</f>
        <v>0</v>
      </c>
      <c r="J182" s="147">
        <f>-IF(AND(J$70&gt;Assumptions!$E$4,J$70&lt;=Assumptions!$F$4),'Sources&amp;Uses'!$F$19/ROUNDUP(Assumptions!$F$2/12,0),0)</f>
        <v>0</v>
      </c>
      <c r="K182" s="147">
        <f>-IF(AND(K$70&gt;Assumptions!$E$4,K$70&lt;=Assumptions!$F$4),'Sources&amp;Uses'!$F$19/ROUNDUP(Assumptions!$F$2/12,0),0)</f>
        <v>0</v>
      </c>
      <c r="L182" s="147">
        <f>-IF(AND(L$70&gt;Assumptions!$E$4,L$70&lt;=Assumptions!$F$4),'Sources&amp;Uses'!$F$19/ROUNDUP(Assumptions!$F$2/12,0),0)</f>
        <v>0</v>
      </c>
      <c r="M182" s="147">
        <f>-IF(AND(M$70&gt;Assumptions!$E$4,M$70&lt;=Assumptions!$F$4),'Sources&amp;Uses'!$F$19/ROUNDUP(Assumptions!$F$2/12,0),0)</f>
        <v>0</v>
      </c>
      <c r="N182" s="147">
        <f>-IF(AND(N$70&gt;Assumptions!$E$4,N$70&lt;=Assumptions!$F$4),'Sources&amp;Uses'!$F$19/ROUNDUP(Assumptions!$F$2/12,0),0)</f>
        <v>0</v>
      </c>
      <c r="O182" s="147">
        <f>-IF(AND(O$70&gt;Assumptions!$E$4,O$70&lt;=Assumptions!$F$4),'Sources&amp;Uses'!$F$19/ROUNDUP(Assumptions!$F$2/12,0),0)</f>
        <v>0</v>
      </c>
      <c r="P182" s="147">
        <f>-IF(AND(P$70&gt;Assumptions!$E$4,P$70&lt;=Assumptions!$F$4),'Sources&amp;Uses'!$F$19/ROUNDUP(Assumptions!$F$2/12,0),0)</f>
        <v>0</v>
      </c>
      <c r="Q182" s="147">
        <f>-IF(AND(Q$70&gt;Assumptions!$E$4,Q$70&lt;=Assumptions!$F$4),'Sources&amp;Uses'!$F$19/ROUNDUP(Assumptions!$F$2/12,0),0)</f>
        <v>0</v>
      </c>
      <c r="R182" s="147">
        <f>-IF(AND(R$70&gt;Assumptions!$E$4,R$70&lt;=Assumptions!$F$4),'Sources&amp;Uses'!$F$19/ROUNDUP(Assumptions!$F$2/12,0),0)</f>
        <v>0</v>
      </c>
    </row>
    <row r="183" spans="2:18">
      <c r="B183" s="123" t="s">
        <v>19</v>
      </c>
      <c r="C183" s="147">
        <f t="shared" ref="C183:C187" ca="1" si="147">SUM(D183:N183)</f>
        <v>-69296433.602079898</v>
      </c>
      <c r="D183" s="147">
        <f>-IF(AND(D$70&gt;Assumptions!$E$4,D$70&lt;=Assumptions!$F$4),'Sources&amp;Uses'!$F$20/ROUNDUP(Assumptions!$F$2/12,0),0)</f>
        <v>0</v>
      </c>
      <c r="E183" s="147">
        <f>-IF(AND(E$70&gt;Assumptions!$E$4,E$70&lt;=Assumptions!$F$4),'Sources&amp;Uses'!$F$20/ROUNDUP(Assumptions!$F$2/12,0),0)</f>
        <v>0</v>
      </c>
      <c r="F183" s="147">
        <f ca="1">-IF(AND(F$70&gt;Assumptions!$E$4,F$70&lt;=Assumptions!$F$4),'Sources&amp;Uses'!$F$20/ROUNDUP(Assumptions!$F$2/12,0),0)</f>
        <v>-23098811.200693298</v>
      </c>
      <c r="G183" s="147">
        <f ca="1">-IF(AND(G$70&gt;Assumptions!$E$4,G$70&lt;=Assumptions!$F$4),'Sources&amp;Uses'!$F$20/ROUNDUP(Assumptions!$F$2/12,0),0)</f>
        <v>-23098811.200693298</v>
      </c>
      <c r="H183" s="147">
        <f ca="1">-IF(AND(H$70&gt;Assumptions!$E$4,H$70&lt;=Assumptions!$F$4),'Sources&amp;Uses'!$F$20/ROUNDUP(Assumptions!$F$2/12,0),0)</f>
        <v>-23098811.200693298</v>
      </c>
      <c r="I183" s="147">
        <f>-IF(AND(I$70&gt;Assumptions!$E$4,I$70&lt;=Assumptions!$F$4),'Sources&amp;Uses'!$F$20/ROUNDUP(Assumptions!$F$2/12,0),0)</f>
        <v>0</v>
      </c>
      <c r="J183" s="147">
        <f>-IF(AND(J$70&gt;Assumptions!$E$4,J$70&lt;=Assumptions!$F$4),'Sources&amp;Uses'!$F$20/ROUNDUP(Assumptions!$F$2/12,0),0)</f>
        <v>0</v>
      </c>
      <c r="K183" s="147">
        <f>-IF(AND(K$70&gt;Assumptions!$E$4,K$70&lt;=Assumptions!$F$4),'Sources&amp;Uses'!$F$20/ROUNDUP(Assumptions!$F$2/12,0),0)</f>
        <v>0</v>
      </c>
      <c r="L183" s="147">
        <f>-IF(AND(L$70&gt;Assumptions!$E$4,L$70&lt;=Assumptions!$F$4),'Sources&amp;Uses'!$F$20/ROUNDUP(Assumptions!$F$2/12,0),0)</f>
        <v>0</v>
      </c>
      <c r="M183" s="147">
        <f>-IF(AND(M$70&gt;Assumptions!$E$4,M$70&lt;=Assumptions!$F$4),'Sources&amp;Uses'!$F$20/ROUNDUP(Assumptions!$F$2/12,0),0)</f>
        <v>0</v>
      </c>
      <c r="N183" s="147">
        <f>-IF(AND(N$70&gt;Assumptions!$E$4,N$70&lt;=Assumptions!$F$4),'Sources&amp;Uses'!$F$20/ROUNDUP(Assumptions!$F$2/12,0),0)</f>
        <v>0</v>
      </c>
      <c r="O183" s="147">
        <f>-IF(AND(O$70&gt;Assumptions!$E$4,O$70&lt;=Assumptions!$F$4),'Sources&amp;Uses'!$F$20/ROUNDUP(Assumptions!$F$2/12,0),0)</f>
        <v>0</v>
      </c>
      <c r="P183" s="147">
        <f>-IF(AND(P$70&gt;Assumptions!$E$4,P$70&lt;=Assumptions!$F$4),'Sources&amp;Uses'!$F$20/ROUNDUP(Assumptions!$F$2/12,0),0)</f>
        <v>0</v>
      </c>
      <c r="Q183" s="147">
        <f>-IF(AND(Q$70&gt;Assumptions!$E$4,Q$70&lt;=Assumptions!$F$4),'Sources&amp;Uses'!$F$20/ROUNDUP(Assumptions!$F$2/12,0),0)</f>
        <v>0</v>
      </c>
      <c r="R183" s="147">
        <f>-IF(AND(R$70&gt;Assumptions!$E$4,R$70&lt;=Assumptions!$F$4),'Sources&amp;Uses'!$F$20/ROUNDUP(Assumptions!$F$2/12,0),0)</f>
        <v>0</v>
      </c>
    </row>
    <row r="184" spans="2:18">
      <c r="B184" s="123" t="s">
        <v>33</v>
      </c>
      <c r="C184" s="147">
        <f t="shared" ca="1" si="147"/>
        <v>-25064463.692893479</v>
      </c>
      <c r="D184" s="147">
        <f>-IF(AND(D$70&gt;Assumptions!$E$4,D$70&lt;=Assumptions!$F$4),'Sources&amp;Uses'!$F$21/ROUNDUP(Assumptions!$F$2/12,0),0)</f>
        <v>0</v>
      </c>
      <c r="E184" s="147">
        <f>-IF(AND(E$70&gt;Assumptions!$E$4,E$70&lt;=Assumptions!$F$4),'Sources&amp;Uses'!$F$21/ROUNDUP(Assumptions!$F$2/12,0),0)</f>
        <v>0</v>
      </c>
      <c r="F184" s="147">
        <f ca="1">-IF(AND(F$70&gt;Assumptions!$E$4,F$70&lt;=Assumptions!$F$4),'Sources&amp;Uses'!$F$21/ROUNDUP(Assumptions!$F$2/12,0),0)</f>
        <v>-8354821.230964493</v>
      </c>
      <c r="G184" s="147">
        <f ca="1">-IF(AND(G$70&gt;Assumptions!$E$4,G$70&lt;=Assumptions!$F$4),'Sources&amp;Uses'!$F$21/ROUNDUP(Assumptions!$F$2/12,0),0)</f>
        <v>-8354821.230964493</v>
      </c>
      <c r="H184" s="147">
        <f ca="1">-IF(AND(H$70&gt;Assumptions!$E$4,H$70&lt;=Assumptions!$F$4),'Sources&amp;Uses'!$F$21/ROUNDUP(Assumptions!$F$2/12,0),0)</f>
        <v>-8354821.230964493</v>
      </c>
      <c r="I184" s="147">
        <f>-IF(AND(I$70&gt;Assumptions!$E$4,I$70&lt;=Assumptions!$F$4),'Sources&amp;Uses'!$F$21/ROUNDUP(Assumptions!$F$2/12,0),0)</f>
        <v>0</v>
      </c>
      <c r="J184" s="147">
        <f>-IF(AND(J$70&gt;Assumptions!$E$4,J$70&lt;=Assumptions!$F$4),'Sources&amp;Uses'!$F$21/ROUNDUP(Assumptions!$F$2/12,0),0)</f>
        <v>0</v>
      </c>
      <c r="K184" s="147">
        <f>-IF(AND(K$70&gt;Assumptions!$E$4,K$70&lt;=Assumptions!$F$4),'Sources&amp;Uses'!$F$21/ROUNDUP(Assumptions!$F$2/12,0),0)</f>
        <v>0</v>
      </c>
      <c r="L184" s="147">
        <f>-IF(AND(L$70&gt;Assumptions!$E$4,L$70&lt;=Assumptions!$F$4),'Sources&amp;Uses'!$F$21/ROUNDUP(Assumptions!$F$2/12,0),0)</f>
        <v>0</v>
      </c>
      <c r="M184" s="147">
        <f>-IF(AND(M$70&gt;Assumptions!$E$4,M$70&lt;=Assumptions!$F$4),'Sources&amp;Uses'!$F$21/ROUNDUP(Assumptions!$F$2/12,0),0)</f>
        <v>0</v>
      </c>
      <c r="N184" s="147">
        <f>-IF(AND(N$70&gt;Assumptions!$E$4,N$70&lt;=Assumptions!$F$4),'Sources&amp;Uses'!$F$21/ROUNDUP(Assumptions!$F$2/12,0),0)</f>
        <v>0</v>
      </c>
      <c r="O184" s="147">
        <f>-IF(AND(O$70&gt;Assumptions!$E$4,O$70&lt;=Assumptions!$F$4),'Sources&amp;Uses'!$F$21/ROUNDUP(Assumptions!$F$2/12,0),0)</f>
        <v>0</v>
      </c>
      <c r="P184" s="147">
        <f>-IF(AND(P$70&gt;Assumptions!$E$4,P$70&lt;=Assumptions!$F$4),'Sources&amp;Uses'!$F$21/ROUNDUP(Assumptions!$F$2/12,0),0)</f>
        <v>0</v>
      </c>
      <c r="Q184" s="147">
        <f>-IF(AND(Q$70&gt;Assumptions!$E$4,Q$70&lt;=Assumptions!$F$4),'Sources&amp;Uses'!$F$21/ROUNDUP(Assumptions!$F$2/12,0),0)</f>
        <v>0</v>
      </c>
      <c r="R184" s="147">
        <f>-IF(AND(R$70&gt;Assumptions!$E$4,R$70&lt;=Assumptions!$F$4),'Sources&amp;Uses'!$F$21/ROUNDUP(Assumptions!$F$2/12,0),0)</f>
        <v>0</v>
      </c>
    </row>
    <row r="185" spans="2:18">
      <c r="B185" s="123" t="s">
        <v>22</v>
      </c>
      <c r="C185" s="147">
        <f t="shared" si="147"/>
        <v>-333333.33333333331</v>
      </c>
      <c r="D185" s="147">
        <f>-IF(AND(D$70&gt;Assumptions!$E$4,D$70&lt;=Assumptions!$F$4),'Sources&amp;Uses'!$F$22/ROUNDUP(Assumptions!$F$2/12,0),0)</f>
        <v>0</v>
      </c>
      <c r="E185" s="147">
        <f>-IF(AND(E$70&gt;Assumptions!$E$4,E$70&lt;=Assumptions!$F$4),'Sources&amp;Uses'!$F$22/ROUNDUP(Assumptions!$F$2/12,0),0)</f>
        <v>0</v>
      </c>
      <c r="F185" s="147">
        <f>-IF(AND(F$70&gt;Assumptions!$E$4,F$70&lt;=Assumptions!$F$4),'Sources&amp;Uses'!$F$22/ROUNDUP(Assumptions!$F$2/12,0),0)</f>
        <v>-111111.11111111111</v>
      </c>
      <c r="G185" s="147">
        <f>-IF(AND(G$70&gt;Assumptions!$E$4,G$70&lt;=Assumptions!$F$4),'Sources&amp;Uses'!$F$22/ROUNDUP(Assumptions!$F$2/12,0),0)</f>
        <v>-111111.11111111111</v>
      </c>
      <c r="H185" s="147">
        <f>-IF(AND(H$70&gt;Assumptions!$E$4,H$70&lt;=Assumptions!$F$4),'Sources&amp;Uses'!$F$22/ROUNDUP(Assumptions!$F$2/12,0),0)</f>
        <v>-111111.11111111111</v>
      </c>
      <c r="I185" s="147">
        <f>-IF(AND(I$70&gt;Assumptions!$E$4,I$70&lt;=Assumptions!$F$4),'Sources&amp;Uses'!$F$22/ROUNDUP(Assumptions!$F$2/12,0),0)</f>
        <v>0</v>
      </c>
      <c r="J185" s="147">
        <f>-IF(AND(J$70&gt;Assumptions!$E$4,J$70&lt;=Assumptions!$F$4),'Sources&amp;Uses'!$F$22/ROUNDUP(Assumptions!$F$2/12,0),0)</f>
        <v>0</v>
      </c>
      <c r="K185" s="147">
        <f>-IF(AND(K$70&gt;Assumptions!$E$4,K$70&lt;=Assumptions!$F$4),'Sources&amp;Uses'!$F$22/ROUNDUP(Assumptions!$F$2/12,0),0)</f>
        <v>0</v>
      </c>
      <c r="L185" s="147">
        <f>-IF(AND(L$70&gt;Assumptions!$E$4,L$70&lt;=Assumptions!$F$4),'Sources&amp;Uses'!$F$22/ROUNDUP(Assumptions!$F$2/12,0),0)</f>
        <v>0</v>
      </c>
      <c r="M185" s="147">
        <f>-IF(AND(M$70&gt;Assumptions!$E$4,M$70&lt;=Assumptions!$F$4),'Sources&amp;Uses'!$F$22/ROUNDUP(Assumptions!$F$2/12,0),0)</f>
        <v>0</v>
      </c>
      <c r="N185" s="147">
        <f>-IF(AND(N$70&gt;Assumptions!$E$4,N$70&lt;=Assumptions!$F$4),'Sources&amp;Uses'!$F$22/ROUNDUP(Assumptions!$F$2/12,0),0)</f>
        <v>0</v>
      </c>
      <c r="O185" s="147">
        <f>-IF(AND(O$70&gt;Assumptions!$E$4,O$70&lt;=Assumptions!$F$4),'Sources&amp;Uses'!$F$22/ROUNDUP(Assumptions!$F$2/12,0),0)</f>
        <v>0</v>
      </c>
      <c r="P185" s="147">
        <f>-IF(AND(P$70&gt;Assumptions!$E$4,P$70&lt;=Assumptions!$F$4),'Sources&amp;Uses'!$F$22/ROUNDUP(Assumptions!$F$2/12,0),0)</f>
        <v>0</v>
      </c>
      <c r="Q185" s="147">
        <f>-IF(AND(Q$70&gt;Assumptions!$E$4,Q$70&lt;=Assumptions!$F$4),'Sources&amp;Uses'!$F$22/ROUNDUP(Assumptions!$F$2/12,0),0)</f>
        <v>0</v>
      </c>
      <c r="R185" s="147">
        <f>-IF(AND(R$70&gt;Assumptions!$E$4,R$70&lt;=Assumptions!$F$4),'Sources&amp;Uses'!$F$22/ROUNDUP(Assumptions!$F$2/12,0),0)</f>
        <v>0</v>
      </c>
    </row>
    <row r="186" spans="2:18">
      <c r="B186" s="123" t="s">
        <v>238</v>
      </c>
      <c r="C186" s="147">
        <f t="shared" ca="1" si="147"/>
        <v>-10404465.040311985</v>
      </c>
      <c r="D186" s="147">
        <f>-IF(AND(D$70&gt;Assumptions!$E$4,D$70&lt;=Assumptions!$F$4),'Sources&amp;Uses'!$F$23/ROUNDUP(Assumptions!$F$2/12,0),0)</f>
        <v>0</v>
      </c>
      <c r="E186" s="147">
        <f>-IF(AND(E$70&gt;Assumptions!$E$4,E$70&lt;=Assumptions!$F$4),'Sources&amp;Uses'!$F$23/ROUNDUP(Assumptions!$F$2/12,0),0)</f>
        <v>0</v>
      </c>
      <c r="F186" s="147">
        <f ca="1">-IF(AND(F$70&gt;Assumptions!$E$4,F$70&lt;=Assumptions!$F$4),'Sources&amp;Uses'!$F$23/ROUNDUP(Assumptions!$F$2/12,0),0)</f>
        <v>-3468155.0134373284</v>
      </c>
      <c r="G186" s="147">
        <f ca="1">-IF(AND(G$70&gt;Assumptions!$E$4,G$70&lt;=Assumptions!$F$4),'Sources&amp;Uses'!$F$23/ROUNDUP(Assumptions!$F$2/12,0),0)</f>
        <v>-3468155.0134373284</v>
      </c>
      <c r="H186" s="147">
        <f ca="1">-IF(AND(H$70&gt;Assumptions!$E$4,H$70&lt;=Assumptions!$F$4),'Sources&amp;Uses'!$F$23/ROUNDUP(Assumptions!$F$2/12,0),0)</f>
        <v>-3468155.0134373284</v>
      </c>
      <c r="I186" s="147">
        <f>-IF(AND(I$70&gt;Assumptions!$E$4,I$70&lt;=Assumptions!$F$4),'Sources&amp;Uses'!$F$23/ROUNDUP(Assumptions!$F$2/12,0),0)</f>
        <v>0</v>
      </c>
      <c r="J186" s="147">
        <f>-IF(AND(J$70&gt;Assumptions!$E$4,J$70&lt;=Assumptions!$F$4),'Sources&amp;Uses'!$F$23/ROUNDUP(Assumptions!$F$2/12,0),0)</f>
        <v>0</v>
      </c>
      <c r="K186" s="147">
        <f>-IF(AND(K$70&gt;Assumptions!$E$4,K$70&lt;=Assumptions!$F$4),'Sources&amp;Uses'!$F$23/ROUNDUP(Assumptions!$F$2/12,0),0)</f>
        <v>0</v>
      </c>
      <c r="L186" s="147">
        <f>-IF(AND(L$70&gt;Assumptions!$E$4,L$70&lt;=Assumptions!$F$4),'Sources&amp;Uses'!$F$23/ROUNDUP(Assumptions!$F$2/12,0),0)</f>
        <v>0</v>
      </c>
      <c r="M186" s="147">
        <f>-IF(AND(M$70&gt;Assumptions!$E$4,M$70&lt;=Assumptions!$F$4),'Sources&amp;Uses'!$F$23/ROUNDUP(Assumptions!$F$2/12,0),0)</f>
        <v>0</v>
      </c>
      <c r="N186" s="147">
        <f>-IF(AND(N$70&gt;Assumptions!$E$4,N$70&lt;=Assumptions!$F$4),'Sources&amp;Uses'!$F$23/ROUNDUP(Assumptions!$F$2/12,0),0)</f>
        <v>0</v>
      </c>
      <c r="O186" s="147">
        <f>-IF(AND(O$70&gt;Assumptions!$E$4,O$70&lt;=Assumptions!$F$4),'Sources&amp;Uses'!$F$23/ROUNDUP(Assumptions!$F$2/12,0),0)</f>
        <v>0</v>
      </c>
      <c r="P186" s="147">
        <f>-IF(AND(P$70&gt;Assumptions!$E$4,P$70&lt;=Assumptions!$F$4),'Sources&amp;Uses'!$F$23/ROUNDUP(Assumptions!$F$2/12,0),0)</f>
        <v>0</v>
      </c>
      <c r="Q186" s="147">
        <f>-IF(AND(Q$70&gt;Assumptions!$E$4,Q$70&lt;=Assumptions!$F$4),'Sources&amp;Uses'!$F$23/ROUNDUP(Assumptions!$F$2/12,0),0)</f>
        <v>0</v>
      </c>
      <c r="R186" s="147">
        <f>-IF(AND(R$70&gt;Assumptions!$E$4,R$70&lt;=Assumptions!$F$4),'Sources&amp;Uses'!$F$23/ROUNDUP(Assumptions!$F$2/12,0),0)</f>
        <v>0</v>
      </c>
    </row>
    <row r="187" spans="2:18">
      <c r="B187" s="125" t="s">
        <v>58</v>
      </c>
      <c r="C187" s="147">
        <f t="shared" ca="1" si="147"/>
        <v>-438948722.07693827</v>
      </c>
      <c r="D187" s="147">
        <f>SUM(D180:D186)</f>
        <v>0</v>
      </c>
      <c r="E187" s="147">
        <f t="shared" ref="E187" si="148">SUM(E180:E186)</f>
        <v>-56664292</v>
      </c>
      <c r="F187" s="147">
        <f t="shared" ref="F187" ca="1" si="149">SUM(F180:F186)</f>
        <v>-127428143.35897943</v>
      </c>
      <c r="G187" s="147">
        <f t="shared" ref="G187" ca="1" si="150">SUM(G180:G186)</f>
        <v>-127428143.35897943</v>
      </c>
      <c r="H187" s="147">
        <f t="shared" ref="H187" ca="1" si="151">SUM(H180:H186)</f>
        <v>-127428143.35897943</v>
      </c>
      <c r="I187" s="147">
        <f t="shared" ref="I187" si="152">SUM(I180:I186)</f>
        <v>0</v>
      </c>
      <c r="J187" s="147">
        <f t="shared" ref="J187" si="153">SUM(J180:J186)</f>
        <v>0</v>
      </c>
      <c r="K187" s="147">
        <f t="shared" ref="K187" si="154">SUM(K180:K186)</f>
        <v>0</v>
      </c>
      <c r="L187" s="147">
        <f t="shared" ref="L187" si="155">SUM(L180:L186)</f>
        <v>0</v>
      </c>
      <c r="M187" s="147">
        <f t="shared" ref="M187" si="156">SUM(M180:M186)</f>
        <v>0</v>
      </c>
      <c r="N187" s="147">
        <f t="shared" ref="N187" si="157">SUM(N180:N186)</f>
        <v>0</v>
      </c>
      <c r="O187" s="147">
        <f t="shared" ref="O187" si="158">SUM(O180:O186)</f>
        <v>0</v>
      </c>
      <c r="P187" s="147">
        <f t="shared" ref="P187" si="159">SUM(P180:P186)</f>
        <v>0</v>
      </c>
      <c r="Q187" s="147">
        <f t="shared" ref="Q187" si="160">SUM(Q180:Q186)</f>
        <v>0</v>
      </c>
      <c r="R187" s="147">
        <f t="shared" ref="R187" si="161">SUM(R180:R186)</f>
        <v>0</v>
      </c>
    </row>
    <row r="188" spans="2:18">
      <c r="B188" s="125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</row>
    <row r="189" spans="2:18" ht="18">
      <c r="B189" s="302" t="s">
        <v>439</v>
      </c>
      <c r="C189" s="280"/>
      <c r="D189" s="285"/>
      <c r="E189" s="286"/>
      <c r="F189" s="286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</row>
    <row r="190" spans="2:18">
      <c r="B190" s="123" t="str">
        <f>'Sources&amp;Uses'!$C$3</f>
        <v>Equity</v>
      </c>
      <c r="C190" s="147">
        <f ca="1">-C187-SUM(C152:C157,C159)</f>
        <v>325813677.64052832</v>
      </c>
      <c r="D190" s="147">
        <f ca="1">MIN($C$190,-'Phase I Pro Forma'!D187)</f>
        <v>0</v>
      </c>
      <c r="E190" s="147">
        <f ca="1">MIN($C$190-SUM($D$190:D190),-'Phase I Pro Forma'!E187)</f>
        <v>56664292</v>
      </c>
      <c r="F190" s="147">
        <f ca="1">MIN($C$190-SUM($D$190:E190),-'Phase I Pro Forma'!F187)</f>
        <v>127428143.35897943</v>
      </c>
      <c r="G190" s="147">
        <f ca="1">MIN($C$190-SUM($D$190:F190),-'Phase I Pro Forma'!G187)</f>
        <v>127428143.35897943</v>
      </c>
      <c r="H190" s="147">
        <f ca="1">MIN($C$190-SUM($D$190:G190),-'Phase I Pro Forma'!H187)</f>
        <v>14293098.922569454</v>
      </c>
      <c r="I190" s="147">
        <f ca="1">MIN($C$190-SUM($D$190:H190),-'Phase I Pro Forma'!I187)</f>
        <v>0</v>
      </c>
      <c r="J190" s="147">
        <f ca="1">MIN($C$190-SUM($D$190:I190),-'Phase I Pro Forma'!J187)</f>
        <v>0</v>
      </c>
      <c r="K190" s="147">
        <f ca="1">MIN($C$190-SUM($D$190:J190),-'Phase I Pro Forma'!K187)</f>
        <v>0</v>
      </c>
      <c r="L190" s="147">
        <f ca="1">MIN($C$190-SUM($D$190:K190),-'Phase I Pro Forma'!L187)</f>
        <v>0</v>
      </c>
      <c r="M190" s="147">
        <f ca="1">MIN($C$190-SUM($D$190:L190),-'Phase I Pro Forma'!M187)</f>
        <v>0</v>
      </c>
      <c r="N190" s="147">
        <f ca="1">MIN($C$190-SUM($D$190:M190),-'Phase I Pro Forma'!N187)</f>
        <v>0</v>
      </c>
      <c r="O190" s="147">
        <f ca="1">MIN($C$190-SUM($D$190:N190),-'Phase I Pro Forma'!O187)</f>
        <v>0</v>
      </c>
      <c r="P190" s="147">
        <f ca="1">MIN($C$190-SUM($D$190:O190),-'Phase I Pro Forma'!P187)</f>
        <v>0</v>
      </c>
      <c r="Q190" s="147">
        <f ca="1">MIN($C$190-SUM($D$190:P190),-'Phase I Pro Forma'!Q187)</f>
        <v>0</v>
      </c>
      <c r="R190" s="147">
        <f ca="1">MIN($C$190-SUM($D$190:Q190),-'Phase I Pro Forma'!R187)</f>
        <v>0</v>
      </c>
    </row>
    <row r="191" spans="2:18">
      <c r="B191" s="123" t="str">
        <f>'Sources&amp;Uses'!$C$4</f>
        <v>PPP - City of Oakland/Alameda County</v>
      </c>
      <c r="C191" s="147">
        <f ca="1">SUM(D191:N191)</f>
        <v>23115787.925333332</v>
      </c>
      <c r="D191" s="147">
        <f ca="1">MIN('Sources&amp;Uses'!$F$4,-'Phase I Pro Forma'!D$187-SUM('Phase I Pro Forma'!D$190:'Phase I Pro Forma'!D190))</f>
        <v>0</v>
      </c>
      <c r="E191" s="147">
        <f ca="1">MIN('Sources&amp;Uses'!$F$4-SUM($D$191:D$191),-'Phase I Pro Forma'!E$187-SUM('Phase I Pro Forma'!E$190:'Phase I Pro Forma'!E190))</f>
        <v>0</v>
      </c>
      <c r="F191" s="147">
        <f ca="1">MIN('Sources&amp;Uses'!$F$4-SUM($D$191:E$191),-'Phase I Pro Forma'!F$187-SUM('Phase I Pro Forma'!F$190:'Phase I Pro Forma'!F190))</f>
        <v>0</v>
      </c>
      <c r="G191" s="147">
        <f ca="1">MIN('Sources&amp;Uses'!$F$4-SUM($D$191:F$191),-'Phase I Pro Forma'!G$187-SUM('Phase I Pro Forma'!G$190:'Phase I Pro Forma'!G190))</f>
        <v>0</v>
      </c>
      <c r="H191" s="147">
        <f ca="1">MIN('Sources&amp;Uses'!$F$4-SUM($D$191:G$191),-'Phase I Pro Forma'!H$187-SUM('Phase I Pro Forma'!H$190:'Phase I Pro Forma'!H190))</f>
        <v>23115787.925333332</v>
      </c>
      <c r="I191" s="147">
        <f ca="1">MIN('Sources&amp;Uses'!$F$4-SUM($D$191:H$191),-'Phase I Pro Forma'!I$187-SUM('Phase I Pro Forma'!I$190:'Phase I Pro Forma'!I190))</f>
        <v>0</v>
      </c>
      <c r="J191" s="147">
        <f ca="1">MIN('Sources&amp;Uses'!$F$4-SUM($D$191:I$191),-'Phase I Pro Forma'!J$190-SUM('Phase I Pro Forma'!J$190:'Phase I Pro Forma'!J190))</f>
        <v>0</v>
      </c>
      <c r="K191" s="147">
        <f ca="1">MIN('Sources&amp;Uses'!$F$4-SUM($D$191:J$191),-'Phase I Pro Forma'!K$187-SUM('Phase I Pro Forma'!K$190:'Phase I Pro Forma'!K190))</f>
        <v>0</v>
      </c>
      <c r="L191" s="147">
        <f ca="1">MIN('Sources&amp;Uses'!$F$4-SUM($D$191:K$191),-'Phase I Pro Forma'!L$187-SUM('Phase I Pro Forma'!L$190:'Phase I Pro Forma'!L190))</f>
        <v>0</v>
      </c>
      <c r="M191" s="147">
        <f ca="1">MIN('Sources&amp;Uses'!$F$4-SUM($D$191:L$191),-'Phase I Pro Forma'!M$187-SUM('Phase I Pro Forma'!M$190:'Phase I Pro Forma'!M190))</f>
        <v>0</v>
      </c>
      <c r="N191" s="147">
        <f ca="1">MIN('Sources&amp;Uses'!$F$4-SUM($D$191:M$191),-'Phase I Pro Forma'!N$187-SUM('Phase I Pro Forma'!N$190:'Phase I Pro Forma'!N190))</f>
        <v>0</v>
      </c>
      <c r="O191" s="147">
        <f ca="1">MIN('Sources&amp;Uses'!$F$4-SUM($D$191:N$191),-'Phase I Pro Forma'!O$187-SUM('Phase I Pro Forma'!O$190:'Phase I Pro Forma'!O190))</f>
        <v>0</v>
      </c>
      <c r="P191" s="147">
        <f ca="1">MIN('Sources&amp;Uses'!$F$4-SUM($D$191:O$191),-'Phase I Pro Forma'!P$187-SUM('Phase I Pro Forma'!P$190:'Phase I Pro Forma'!P190))</f>
        <v>0</v>
      </c>
      <c r="Q191" s="147">
        <f ca="1">MIN('Sources&amp;Uses'!$F$4-SUM($D$191:P$191),-'Phase I Pro Forma'!Q$187-SUM('Phase I Pro Forma'!Q$190:'Phase I Pro Forma'!Q190))</f>
        <v>0</v>
      </c>
      <c r="R191" s="147">
        <f ca="1">MIN('Sources&amp;Uses'!$F$4-SUM($D$191:Q$191),-'Phase I Pro Forma'!R$187-SUM('Phase I Pro Forma'!R$190:'Phase I Pro Forma'!R190))</f>
        <v>0</v>
      </c>
    </row>
    <row r="192" spans="2:18">
      <c r="B192" s="123" t="str">
        <f>'Sources&amp;Uses'!$C$5</f>
        <v>PPP - Private Partners</v>
      </c>
      <c r="C192" s="147">
        <f ca="1">SUM(D192:N192)</f>
        <v>4905375</v>
      </c>
      <c r="D192" s="147">
        <f ca="1">MIN('Sources&amp;Uses'!$F$5,-'Phase I Pro Forma'!D$187-SUM('Phase I Pro Forma'!D$190:'Phase I Pro Forma'!D191))</f>
        <v>0</v>
      </c>
      <c r="E192" s="147">
        <f ca="1">MIN('Sources&amp;Uses'!$F$5-SUM($D$192:D$192),-'Phase I Pro Forma'!E$148-SUM('Phase I Pro Forma'!E$190:'Phase I Pro Forma'!E191))</f>
        <v>0</v>
      </c>
      <c r="F192" s="147">
        <f ca="1">MIN('Sources&amp;Uses'!$F$5-SUM($D$192:E192),-'Phase I Pro Forma'!F$148-SUM('Phase I Pro Forma'!F$151:'Phase I Pro Forma'!F191))</f>
        <v>-75262450.537301511</v>
      </c>
      <c r="G192" s="147">
        <f ca="1">MIN('Sources&amp;Uses'!$F$5-SUM($D$192:F192),-'Phase I Pro Forma'!G$187-SUM('Phase I Pro Forma'!G$190:'Phase I Pro Forma'!G191))</f>
        <v>0</v>
      </c>
      <c r="H192" s="147">
        <f ca="1">MIN('Sources&amp;Uses'!$F$5-SUM($D$192:G192),-'Phase I Pro Forma'!H$187-SUM('Phase I Pro Forma'!H$190:'Phase I Pro Forma'!H191))</f>
        <v>80167825.537301511</v>
      </c>
      <c r="I192" s="147">
        <f ca="1">MIN('Sources&amp;Uses'!$F$5-SUM($D$192:H192),-'Phase I Pro Forma'!I$187-SUM('Phase I Pro Forma'!I$190:'Phase I Pro Forma'!I191))</f>
        <v>0</v>
      </c>
      <c r="J192" s="147">
        <f ca="1">MIN('Sources&amp;Uses'!$F$5-SUM($D$192:I192),-'Phase I Pro Forma'!J$187-SUM('Phase I Pro Forma'!J$190:'Phase I Pro Forma'!J191))</f>
        <v>0</v>
      </c>
      <c r="K192" s="147">
        <f ca="1">MIN('Sources&amp;Uses'!$F$5-SUM($D$192:J192),-'Phase I Pro Forma'!K$187-SUM('Phase I Pro Forma'!K$190:'Phase I Pro Forma'!K191))</f>
        <v>0</v>
      </c>
      <c r="L192" s="147">
        <f ca="1">MIN('Sources&amp;Uses'!$F$5-SUM($D$192:K192),-'Phase I Pro Forma'!L$187-SUM('Phase I Pro Forma'!L$190:'Phase I Pro Forma'!L191))</f>
        <v>0</v>
      </c>
      <c r="M192" s="147">
        <f ca="1">MIN('Sources&amp;Uses'!$F$5-SUM($D$192:L192),-'Phase I Pro Forma'!M$187-SUM('Phase I Pro Forma'!M$190:'Phase I Pro Forma'!M191))</f>
        <v>0</v>
      </c>
      <c r="N192" s="147">
        <f ca="1">MIN('Sources&amp;Uses'!$F$5-SUM($D$192:M192),-'Phase I Pro Forma'!N$187-SUM('Phase I Pro Forma'!N$190:'Phase I Pro Forma'!N191))</f>
        <v>0</v>
      </c>
      <c r="O192" s="147">
        <f ca="1">MIN('Sources&amp;Uses'!$F$5-SUM($D$192:N192),-'Phase I Pro Forma'!O$187-SUM('Phase I Pro Forma'!O$190:'Phase I Pro Forma'!O191))</f>
        <v>0</v>
      </c>
      <c r="P192" s="147">
        <f ca="1">MIN('Sources&amp;Uses'!$F$5-SUM($D$192:O192),-'Phase I Pro Forma'!P$187-SUM('Phase I Pro Forma'!P$190:'Phase I Pro Forma'!P191))</f>
        <v>0</v>
      </c>
      <c r="Q192" s="147">
        <f ca="1">MIN('Sources&amp;Uses'!$F$5-SUM($D$192:P192),-'Phase I Pro Forma'!Q$187-SUM('Phase I Pro Forma'!Q$190:'Phase I Pro Forma'!Q191))</f>
        <v>0</v>
      </c>
      <c r="R192" s="147">
        <f ca="1">MIN('Sources&amp;Uses'!$F$5-SUM($D$192:Q192),-'Phase I Pro Forma'!R$187-SUM('Phase I Pro Forma'!R$190:'Phase I Pro Forma'!R191))</f>
        <v>0</v>
      </c>
    </row>
    <row r="193" spans="2:18">
      <c r="B193" s="123" t="str">
        <f>'Sources&amp;Uses'!$C$6</f>
        <v xml:space="preserve">LIHTC </v>
      </c>
      <c r="C193" s="147">
        <f ca="1">SUM(D193:N193)</f>
        <v>61986317.548235297</v>
      </c>
      <c r="D193" s="147">
        <f ca="1">MIN('Sources&amp;Uses'!$F$6,-'Phase I Pro Forma'!D$187-SUM(D190:D192))</f>
        <v>0</v>
      </c>
      <c r="E193" s="147">
        <f ca="1">MIN('Sources&amp;Uses'!$F$6-SUM(D$193),-'Phase I Pro Forma'!E$187-SUM(E190:E192))</f>
        <v>0</v>
      </c>
      <c r="F193" s="147">
        <f ca="1">MIN('Sources&amp;Uses'!$F$6-SUM($D$193:E193),-'Phase I Pro Forma'!F$187-SUM(F190:F192))</f>
        <v>61986317.548235297</v>
      </c>
      <c r="G193" s="147">
        <f ca="1">MIN('Sources&amp;Uses'!$F$6-SUM($D$193:F193),-'Phase I Pro Forma'!G$187-SUM(G190:G192))</f>
        <v>0</v>
      </c>
      <c r="H193" s="147">
        <f ca="1">MIN('Sources&amp;Uses'!$F$6-SUM($D$193:G193),-'Phase I Pro Forma'!H$187-SUM(H190:H192))</f>
        <v>0</v>
      </c>
      <c r="I193" s="147">
        <f ca="1">MIN('Sources&amp;Uses'!$F$6-SUM($D$193:H193),-'Phase I Pro Forma'!I$187-SUM(I190:I192))</f>
        <v>0</v>
      </c>
      <c r="J193" s="147">
        <f ca="1">MIN('Sources&amp;Uses'!$F$6-SUM($D$193:I193),-'Phase I Pro Forma'!J$187-SUM(J190:J192))</f>
        <v>0</v>
      </c>
      <c r="K193" s="147">
        <f ca="1">MIN('Sources&amp;Uses'!$F$6-SUM($D$193:J193),-'Phase I Pro Forma'!K$187-SUM(K190:K192))</f>
        <v>0</v>
      </c>
      <c r="L193" s="147">
        <f ca="1">MIN('Sources&amp;Uses'!$F$6-SUM($D$193:K193),-'Phase I Pro Forma'!L$187-SUM(L190:L192))</f>
        <v>0</v>
      </c>
      <c r="M193" s="147">
        <f ca="1">MIN('Sources&amp;Uses'!$F$6-SUM($D$193:L193),-'Phase I Pro Forma'!M$187-SUM(M190:M192))</f>
        <v>0</v>
      </c>
      <c r="N193" s="147">
        <f ca="1">MIN('Sources&amp;Uses'!$F$6-SUM($D$193:M193),-'Phase I Pro Forma'!N$187-SUM(N190:N192))</f>
        <v>0</v>
      </c>
      <c r="O193" s="147">
        <f ca="1">MIN('Sources&amp;Uses'!$F$6-SUM($D$193:N193),-'Phase I Pro Forma'!O$187-SUM(O190:O192))</f>
        <v>0</v>
      </c>
      <c r="P193" s="147">
        <f ca="1">MIN('Sources&amp;Uses'!$F$6-SUM($D$193:O193),-'Phase I Pro Forma'!P$187-SUM(P190:P192))</f>
        <v>0</v>
      </c>
      <c r="Q193" s="147">
        <f ca="1">MIN('Sources&amp;Uses'!$F$6-SUM($D$193:P193),-'Phase I Pro Forma'!Q$187-SUM(Q190:Q192))</f>
        <v>0</v>
      </c>
      <c r="R193" s="147">
        <f ca="1">MIN('Sources&amp;Uses'!$F$6-SUM($D$193:Q193),-'Phase I Pro Forma'!R$187-SUM(R190:R192))</f>
        <v>0</v>
      </c>
    </row>
    <row r="194" spans="2:18">
      <c r="B194" s="123" t="str">
        <f>'Sources&amp;Uses'!$C$8</f>
        <v>CA TOD Housing Program (Infrastructure Grant)</v>
      </c>
      <c r="C194" s="147">
        <f ca="1">SUM(D194:N194)</f>
        <v>2500000</v>
      </c>
      <c r="D194" s="147">
        <f ca="1">MIN('Sources&amp;Uses'!$F$8,-'Phase I Pro Forma'!D$187-SUM(D190:D193))</f>
        <v>0</v>
      </c>
      <c r="E194" s="147">
        <f ca="1">MIN('Sources&amp;Uses'!$F$8-SUM($D$194:D194),-'Phase I Pro Forma'!E$187-SUM(E190:E193))</f>
        <v>0</v>
      </c>
      <c r="F194" s="147">
        <f ca="1">MIN('Sources&amp;Uses'!$F$8-SUM($D$194:E194),-'Phase I Pro Forma'!F$187-SUM(F190:F193))</f>
        <v>2500000</v>
      </c>
      <c r="G194" s="147">
        <f ca="1">MIN('Sources&amp;Uses'!$F$8-SUM($D$194:F194),-'Phase I Pro Forma'!G$187-SUM(G190:G193))</f>
        <v>0</v>
      </c>
      <c r="H194" s="147">
        <f ca="1">MIN('Sources&amp;Uses'!$F$8-SUM($D$194:G194),-'Phase I Pro Forma'!H$187-SUM(H190:H193))</f>
        <v>0</v>
      </c>
      <c r="I194" s="147">
        <f ca="1">MIN('Sources&amp;Uses'!$F$8-SUM($D$194:H194),-'Phase I Pro Forma'!I$187-SUM(I190:I193))</f>
        <v>0</v>
      </c>
      <c r="J194" s="147">
        <f ca="1">MIN('Sources&amp;Uses'!$F$8-SUM($D$194:I194),-'Phase I Pro Forma'!J$187-SUM(J190:J193))</f>
        <v>0</v>
      </c>
      <c r="K194" s="147">
        <f ca="1">MIN('Sources&amp;Uses'!$F$8-SUM($D$194:J194),-'Phase I Pro Forma'!K$187-SUM(K190:K193))</f>
        <v>0</v>
      </c>
      <c r="L194" s="147">
        <f ca="1">MIN('Sources&amp;Uses'!$F$8-SUM($D$194:K194),-'Phase I Pro Forma'!L$187-SUM(L190:L193))</f>
        <v>0</v>
      </c>
      <c r="M194" s="147">
        <f ca="1">MIN('Sources&amp;Uses'!$F$8-SUM($D$194:L194),-'Phase I Pro Forma'!M$187-SUM(M190:M193))</f>
        <v>0</v>
      </c>
      <c r="N194" s="147">
        <f ca="1">MIN('Sources&amp;Uses'!$F$8-SUM($D$194:M194),-'Phase I Pro Forma'!N$187-SUM(N190:N193))</f>
        <v>0</v>
      </c>
      <c r="O194" s="147">
        <f ca="1">MIN('Sources&amp;Uses'!$F$8-SUM($D$194:N194),-'Phase I Pro Forma'!O$187-SUM(O190:O193))</f>
        <v>0</v>
      </c>
      <c r="P194" s="147">
        <f ca="1">MIN('Sources&amp;Uses'!$F$8-SUM($D$194:O194),-'Phase I Pro Forma'!P$187-SUM(P190:P193))</f>
        <v>0</v>
      </c>
      <c r="Q194" s="147">
        <f ca="1">MIN('Sources&amp;Uses'!$F$8-SUM($D$194:P194),-'Phase I Pro Forma'!Q$187-SUM(Q190:Q193))</f>
        <v>0</v>
      </c>
      <c r="R194" s="147">
        <f ca="1">MIN('Sources&amp;Uses'!$F$8-SUM($D$194:Q194),-'Phase I Pro Forma'!R$187-SUM(R190:R193))</f>
        <v>0</v>
      </c>
    </row>
    <row r="195" spans="2:18">
      <c r="B195" s="123">
        <f>'Sources&amp;Uses'!$C$9</f>
        <v>0</v>
      </c>
      <c r="C195" s="147">
        <f ca="1">SUM(D195:N195)</f>
        <v>0</v>
      </c>
      <c r="D195" s="147">
        <f ca="1">MIN('Sources&amp;Uses'!$F$9,-'Phase I Pro Forma'!D$187-SUM(D190:D194))</f>
        <v>0</v>
      </c>
      <c r="E195" s="147">
        <f ca="1">MIN('Sources&amp;Uses'!$F$9-SUM($D$195:D195),-'Phase I Pro Forma'!E$187-SUM(E190:E194))</f>
        <v>0</v>
      </c>
      <c r="F195" s="147">
        <f ca="1">MIN('Sources&amp;Uses'!$F$9-SUM($D$195:E195),-'Phase I Pro Forma'!F$187-SUM(F190:F194))</f>
        <v>0</v>
      </c>
      <c r="G195" s="147">
        <f ca="1">MIN('Sources&amp;Uses'!$F$9-SUM($D$195:F195),-'Phase I Pro Forma'!G$187-SUM(G190:G194))</f>
        <v>0</v>
      </c>
      <c r="H195" s="147">
        <f ca="1">MIN('Sources&amp;Uses'!$F$9-SUM($D$195:G195),-'Phase I Pro Forma'!H$187-SUM(H190:H194))</f>
        <v>0</v>
      </c>
      <c r="I195" s="147">
        <f ca="1">MIN('Sources&amp;Uses'!$F$9-SUM($D$195:H195),-'Phase I Pro Forma'!I$187-SUM(I190:I194))</f>
        <v>0</v>
      </c>
      <c r="J195" s="147">
        <f ca="1">MIN('Sources&amp;Uses'!$F$9-SUM($D$195:I195),-'Phase I Pro Forma'!J$187-SUM(J190:J194))</f>
        <v>0</v>
      </c>
      <c r="K195" s="147">
        <f ca="1">MIN('Sources&amp;Uses'!$F$9-SUM($D$195:J195),-'Phase I Pro Forma'!K$187-SUM(K190:K194))</f>
        <v>0</v>
      </c>
      <c r="L195" s="147">
        <f ca="1">MIN('Sources&amp;Uses'!$F$9-SUM($D$195:K195),-'Phase I Pro Forma'!L$187-SUM(L190:L194))</f>
        <v>0</v>
      </c>
      <c r="M195" s="147">
        <f ca="1">MIN('Sources&amp;Uses'!$F$9-SUM($D$195:L195),-'Phase I Pro Forma'!M$187-SUM(M190:M194))</f>
        <v>0</v>
      </c>
      <c r="N195" s="147">
        <f ca="1">MIN('Sources&amp;Uses'!$F$9-SUM($D$195:M195),-'Phase I Pro Forma'!N$187-SUM(N190:N194))</f>
        <v>0</v>
      </c>
      <c r="O195" s="147">
        <f ca="1">MIN('Sources&amp;Uses'!$F$9-SUM($D$195:N195),-'Phase I Pro Forma'!O$187-SUM(O190:O194))</f>
        <v>0</v>
      </c>
      <c r="P195" s="147">
        <f ca="1">MIN('Sources&amp;Uses'!$F$9-SUM($D$195:O195),-'Phase I Pro Forma'!P$187-SUM(P190:P194))</f>
        <v>0</v>
      </c>
      <c r="Q195" s="147">
        <f ca="1">MIN('Sources&amp;Uses'!$F$9-SUM($D$195:P195),-'Phase I Pro Forma'!Q$187-SUM(Q190:Q194))</f>
        <v>0</v>
      </c>
      <c r="R195" s="147">
        <f ca="1">MIN('Sources&amp;Uses'!$F$9-SUM($D$195:Q195),-'Phase I Pro Forma'!R$187-SUM(R190:R194))</f>
        <v>0</v>
      </c>
    </row>
    <row r="196" spans="2:18">
      <c r="B196" s="123" t="str">
        <f>'Sources&amp;Uses'!$C$10</f>
        <v>CA Strategic Growth Council (Aff Housing and Sustainable Communities)</v>
      </c>
      <c r="C196" s="147">
        <f ca="1">SUM(D196:N196)</f>
        <v>4500000</v>
      </c>
      <c r="D196" s="147">
        <f ca="1">MIN('Sources&amp;Uses'!$F$10,-'Phase I Pro Forma'!D$187-SUM(D190:D195))</f>
        <v>0</v>
      </c>
      <c r="E196" s="147">
        <f ca="1">MIN('Sources&amp;Uses'!$F$10-SUM($D$196:D196),-'Phase I Pro Forma'!E$187-SUM(E190:E195))</f>
        <v>0</v>
      </c>
      <c r="F196" s="147">
        <f ca="1">MIN('Sources&amp;Uses'!$F$10-SUM($D$196:E196),-'Phase I Pro Forma'!F$187-SUM(F190:F195))</f>
        <v>4500000</v>
      </c>
      <c r="G196" s="147">
        <f ca="1">MIN('Sources&amp;Uses'!$F$10-SUM($D$196:F196),-'Phase I Pro Forma'!G$187-SUM(G190:G195))</f>
        <v>0</v>
      </c>
      <c r="H196" s="147">
        <f ca="1">MIN('Sources&amp;Uses'!$F$10-SUM($D$196:G196),-'Phase I Pro Forma'!H$187-SUM(H190:H195))</f>
        <v>0</v>
      </c>
      <c r="I196" s="147">
        <f ca="1">MIN('Sources&amp;Uses'!$F$10-SUM($D$196:H196),-'Phase I Pro Forma'!I$187-SUM(I190:I195))</f>
        <v>0</v>
      </c>
      <c r="J196" s="147">
        <f ca="1">MIN('Sources&amp;Uses'!$F$10-SUM($D$196:I196),-'Phase I Pro Forma'!J$187-SUM(J190:J195))</f>
        <v>0</v>
      </c>
      <c r="K196" s="147">
        <f ca="1">MIN('Sources&amp;Uses'!$F$10-SUM($D$196:J196),-'Phase I Pro Forma'!K$187-SUM(K190:K195))</f>
        <v>0</v>
      </c>
      <c r="L196" s="147">
        <f ca="1">MIN('Sources&amp;Uses'!$F$10-SUM($D$196:K196),-'Phase I Pro Forma'!L$187-SUM(L190:L195))</f>
        <v>0</v>
      </c>
      <c r="M196" s="147">
        <f ca="1">MIN('Sources&amp;Uses'!$F$10-SUM($D$196:L196),-'Phase I Pro Forma'!M$187-SUM(M190:M195))</f>
        <v>0</v>
      </c>
      <c r="N196" s="147">
        <f ca="1">MIN('Sources&amp;Uses'!$F$10-SUM($D$196:M196),-'Phase I Pro Forma'!N$187-SUM(N190:N195))</f>
        <v>0</v>
      </c>
      <c r="O196" s="147">
        <f ca="1">MIN('Sources&amp;Uses'!$F$10-SUM($D$196:N196),-'Phase I Pro Forma'!O$187-SUM(O190:O195))</f>
        <v>0</v>
      </c>
      <c r="P196" s="147">
        <f ca="1">MIN('Sources&amp;Uses'!$F$10-SUM($D$196:O196),-'Phase I Pro Forma'!P$187-SUM(P190:P195))</f>
        <v>0</v>
      </c>
      <c r="Q196" s="147">
        <f ca="1">MIN('Sources&amp;Uses'!$F$10-SUM($D$196:P196),-'Phase I Pro Forma'!Q$187-SUM(Q190:Q195))</f>
        <v>0</v>
      </c>
      <c r="R196" s="147">
        <f ca="1">MIN('Sources&amp;Uses'!$F$10-SUM($D$196:Q196),-'Phase I Pro Forma'!R$187-SUM(R190:R195))</f>
        <v>0</v>
      </c>
    </row>
    <row r="197" spans="2:18">
      <c r="B197" s="123" t="str">
        <f>'Sources&amp;Uses'!$C$11</f>
        <v>Senior Construction Loan</v>
      </c>
      <c r="C197" s="147">
        <f>SUM(D197:N197)</f>
        <v>0</v>
      </c>
      <c r="D197" s="147">
        <v>0</v>
      </c>
      <c r="E197" s="147">
        <v>0</v>
      </c>
      <c r="F197" s="147">
        <v>0</v>
      </c>
      <c r="G197" s="147">
        <v>0</v>
      </c>
      <c r="H197" s="147">
        <v>0</v>
      </c>
      <c r="I197" s="147">
        <v>0</v>
      </c>
      <c r="J197" s="147">
        <v>0</v>
      </c>
      <c r="K197" s="147">
        <v>0</v>
      </c>
      <c r="L197" s="147">
        <v>0</v>
      </c>
      <c r="M197" s="147">
        <v>0</v>
      </c>
      <c r="N197" s="147">
        <v>0</v>
      </c>
      <c r="O197" s="147">
        <v>1</v>
      </c>
      <c r="P197" s="147">
        <v>2</v>
      </c>
      <c r="Q197" s="147">
        <v>3</v>
      </c>
      <c r="R197" s="147">
        <v>4</v>
      </c>
    </row>
    <row r="198" spans="2:18">
      <c r="B198" s="123" t="str">
        <f>'Sources&amp;Uses'!$C$12</f>
        <v>TIF Loan</v>
      </c>
      <c r="C198" s="147">
        <f ca="1">SUM(D198:N198)</f>
        <v>16127563.962841302</v>
      </c>
      <c r="D198" s="147">
        <f ca="1">MIN('Sources&amp;Uses'!$F$12,-'Phase I Pro Forma'!D$187-SUM(D190:D197))</f>
        <v>0</v>
      </c>
      <c r="E198" s="147">
        <f ca="1">MIN('Sources&amp;Uses'!$F$12-SUM($D$198:D198),-'Phase I Pro Forma'!E$187-SUM(E190:E197))</f>
        <v>0</v>
      </c>
      <c r="F198" s="147">
        <f ca="1">MIN('Sources&amp;Uses'!$F$12-SUM($D$198:E198),-'Phase I Pro Forma'!F$187-SUM(F190:F197))</f>
        <v>6276132.9890662134</v>
      </c>
      <c r="G198" s="147">
        <f ca="1">MIN('Sources&amp;Uses'!$F$12-SUM($D$198:F198),-'Phase I Pro Forma'!G$187-SUM(G190:G197))</f>
        <v>0</v>
      </c>
      <c r="H198" s="147">
        <f ca="1">MIN('Sources&amp;Uses'!$F$12-SUM($D$198:G198),-'Phase I Pro Forma'!H$187-SUM(H190:H197))</f>
        <v>9851430.9737750888</v>
      </c>
      <c r="I198" s="147">
        <f ca="1">MIN('Sources&amp;Uses'!$F$12-SUM($D$198:H198),-'Phase I Pro Forma'!I$187-SUM(I190:I197))</f>
        <v>0</v>
      </c>
      <c r="J198" s="147">
        <f ca="1">MIN('Sources&amp;Uses'!$F$12-SUM($D$198:I198),-'Phase I Pro Forma'!J$187-SUM(J190:J197))</f>
        <v>0</v>
      </c>
      <c r="K198" s="147">
        <f ca="1">MIN('Sources&amp;Uses'!$F$12-SUM($D$198:J198),-'Phase I Pro Forma'!K$187-SUM(K190:K197))</f>
        <v>0</v>
      </c>
      <c r="L198" s="147">
        <f ca="1">MIN('Sources&amp;Uses'!$F$12-SUM($D$198:K198),-'Phase I Pro Forma'!L$187-SUM(L190:L197))</f>
        <v>0</v>
      </c>
      <c r="M198" s="147">
        <f ca="1">MIN('Sources&amp;Uses'!$F$12-SUM($D$198:L198),-'Phase I Pro Forma'!M$187-SUM(M190:M197))</f>
        <v>0</v>
      </c>
      <c r="N198" s="147">
        <f ca="1">MIN('Sources&amp;Uses'!$F$12-SUM($D$198:M198),-'Phase I Pro Forma'!N$187-SUM(N190:N197))</f>
        <v>0</v>
      </c>
      <c r="O198" s="147">
        <f ca="1">MIN('Sources&amp;Uses'!$F$12-SUM($D$198:N198),-'Phase I Pro Forma'!O$187-SUM(O190:O197))</f>
        <v>-1</v>
      </c>
      <c r="P198" s="147">
        <f ca="1">MIN('Sources&amp;Uses'!$F$12-SUM($D$198:O198),-'Phase I Pro Forma'!P$187-SUM(P190:P197))</f>
        <v>-2</v>
      </c>
      <c r="Q198" s="147">
        <f ca="1">MIN('Sources&amp;Uses'!$F$12-SUM($D$198:P198),-'Phase I Pro Forma'!Q$187-SUM(Q190:Q197))</f>
        <v>-3</v>
      </c>
      <c r="R198" s="147">
        <f ca="1">MIN('Sources&amp;Uses'!$F$12-SUM($D$198:Q198),-'Phase I Pro Forma'!R$187-SUM(R190:R197))</f>
        <v>-4</v>
      </c>
    </row>
    <row r="199" spans="2:18">
      <c r="B199" s="125" t="s">
        <v>440</v>
      </c>
      <c r="C199" s="147">
        <f ca="1">SUM(D199:N199)</f>
        <v>438948722.07693827</v>
      </c>
      <c r="D199" s="147">
        <f ca="1">SUM(D190:D198)</f>
        <v>0</v>
      </c>
      <c r="E199" s="147">
        <f ca="1">SUM(E190:E198)</f>
        <v>56664292</v>
      </c>
      <c r="F199" s="147">
        <f ca="1">SUM(F190:F198)</f>
        <v>127428143.35897943</v>
      </c>
      <c r="G199" s="147">
        <f ca="1">SUM(G190:G198)</f>
        <v>127428143.35897943</v>
      </c>
      <c r="H199" s="147">
        <f ca="1">SUM(H190:H198)</f>
        <v>127428143.35897939</v>
      </c>
      <c r="I199" s="147">
        <f ca="1">SUM(I190:I198)</f>
        <v>0</v>
      </c>
      <c r="J199" s="147">
        <f ca="1">SUM(J190:J198)</f>
        <v>0</v>
      </c>
      <c r="K199" s="147">
        <f ca="1">SUM(K190:K198)</f>
        <v>0</v>
      </c>
      <c r="L199" s="147">
        <f ca="1">SUM(L190:L198)</f>
        <v>0</v>
      </c>
      <c r="M199" s="147">
        <f ca="1">SUM(M190:M198)</f>
        <v>0</v>
      </c>
      <c r="N199" s="147">
        <f ca="1">SUM(N190:N198)</f>
        <v>0</v>
      </c>
      <c r="O199" s="147">
        <f t="shared" ref="O199:R199" ca="1" si="162">SUM(O190:O198)</f>
        <v>0</v>
      </c>
      <c r="P199" s="147">
        <f t="shared" ca="1" si="162"/>
        <v>0</v>
      </c>
      <c r="Q199" s="147">
        <f t="shared" ca="1" si="162"/>
        <v>0</v>
      </c>
      <c r="R199" s="147">
        <f t="shared" ca="1" si="162"/>
        <v>0</v>
      </c>
    </row>
    <row r="200" spans="2:18">
      <c r="B200" s="125"/>
      <c r="C200" s="147"/>
      <c r="D200" s="34"/>
    </row>
    <row r="201" spans="2:18">
      <c r="B201" s="256" t="s">
        <v>441</v>
      </c>
      <c r="C201" s="147">
        <f ca="1">SUM(D201:N201)</f>
        <v>113135044.43640994</v>
      </c>
      <c r="D201" s="147">
        <f ca="1">D191+D192+D193+D195+D196+D198+D194</f>
        <v>0</v>
      </c>
      <c r="E201" s="147">
        <f t="shared" ref="E201:N201" ca="1" si="163">E191+E192+E193+E195+E196+E198+E194</f>
        <v>0</v>
      </c>
      <c r="F201" s="147">
        <f t="shared" ca="1" si="163"/>
        <v>0</v>
      </c>
      <c r="G201" s="147">
        <f t="shared" ca="1" si="163"/>
        <v>0</v>
      </c>
      <c r="H201" s="147">
        <f t="shared" ca="1" si="163"/>
        <v>113135044.43640994</v>
      </c>
      <c r="I201" s="147">
        <f t="shared" ca="1" si="163"/>
        <v>0</v>
      </c>
      <c r="J201" s="147">
        <f t="shared" ca="1" si="163"/>
        <v>0</v>
      </c>
      <c r="K201" s="147">
        <f t="shared" ca="1" si="163"/>
        <v>0</v>
      </c>
      <c r="L201" s="147">
        <f t="shared" ca="1" si="163"/>
        <v>0</v>
      </c>
      <c r="M201" s="147">
        <f t="shared" ca="1" si="163"/>
        <v>0</v>
      </c>
      <c r="N201" s="147">
        <f t="shared" ca="1" si="163"/>
        <v>0</v>
      </c>
      <c r="O201" s="147">
        <f t="shared" ref="O201:R201" ca="1" si="164">O191+O192+O193+O195+O196+O198+O194</f>
        <v>-1</v>
      </c>
      <c r="P201" s="147">
        <f t="shared" ca="1" si="164"/>
        <v>-2</v>
      </c>
      <c r="Q201" s="147">
        <f t="shared" ca="1" si="164"/>
        <v>-3</v>
      </c>
      <c r="R201" s="147">
        <f t="shared" ca="1" si="164"/>
        <v>-4</v>
      </c>
    </row>
    <row r="202" spans="2:18">
      <c r="B202" s="124"/>
      <c r="C202" s="296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</row>
    <row r="203" spans="2:18">
      <c r="B203" s="124"/>
      <c r="C203" s="296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</row>
    <row r="204" spans="2:18">
      <c r="B204" s="124" t="s">
        <v>443</v>
      </c>
      <c r="C204" s="147">
        <f ca="1">SUM(D204:N204)</f>
        <v>-325813677.64052832</v>
      </c>
      <c r="D204" s="147">
        <f ca="1">-D190</f>
        <v>0</v>
      </c>
      <c r="E204" s="147">
        <f t="shared" ref="E204:N204" ca="1" si="165">-E190</f>
        <v>-56664292</v>
      </c>
      <c r="F204" s="147">
        <f t="shared" ca="1" si="165"/>
        <v>-127428143.35897943</v>
      </c>
      <c r="G204" s="147">
        <f t="shared" ca="1" si="165"/>
        <v>-127428143.35897943</v>
      </c>
      <c r="H204" s="147">
        <f t="shared" ca="1" si="165"/>
        <v>-14293098.922569454</v>
      </c>
      <c r="I204" s="147">
        <f t="shared" ca="1" si="165"/>
        <v>0</v>
      </c>
      <c r="J204" s="147">
        <f t="shared" ca="1" si="165"/>
        <v>0</v>
      </c>
      <c r="K204" s="147">
        <f t="shared" ca="1" si="165"/>
        <v>0</v>
      </c>
      <c r="L204" s="147">
        <f t="shared" ca="1" si="165"/>
        <v>0</v>
      </c>
      <c r="M204" s="147">
        <f t="shared" ca="1" si="165"/>
        <v>0</v>
      </c>
      <c r="N204" s="147">
        <f t="shared" ca="1" si="165"/>
        <v>0</v>
      </c>
      <c r="O204" s="147">
        <f t="shared" ref="O204:R204" ca="1" si="166">-O190</f>
        <v>0</v>
      </c>
      <c r="P204" s="147">
        <f t="shared" ca="1" si="166"/>
        <v>0</v>
      </c>
      <c r="Q204" s="147">
        <f t="shared" ca="1" si="166"/>
        <v>0</v>
      </c>
      <c r="R204" s="147">
        <f t="shared" ca="1" si="166"/>
        <v>0</v>
      </c>
    </row>
    <row r="205" spans="2:18" ht="17.100000000000001" thickBot="1">
      <c r="B205" s="125" t="s">
        <v>444</v>
      </c>
      <c r="C205" s="147">
        <f ca="1">SUM(D205:N205)</f>
        <v>450378368.46397996</v>
      </c>
      <c r="D205" s="147">
        <f ca="1">IF(D69&lt;=YEAR(Assumptions!$H$4),D176+D177,0)</f>
        <v>0</v>
      </c>
      <c r="E205" s="147">
        <f ca="1">IF(E69&lt;=YEAR(Assumptions!$H$4),E176+E177,0)</f>
        <v>0</v>
      </c>
      <c r="F205" s="147">
        <f ca="1">IF(F69&lt;=YEAR(Assumptions!$H$4),F176+F177,0)</f>
        <v>0</v>
      </c>
      <c r="G205" s="147">
        <f ca="1">IF(G69&lt;=YEAR(Assumptions!$H$4),G176+G177,0)</f>
        <v>0</v>
      </c>
      <c r="H205" s="147">
        <f ca="1">IF(H69&lt;=YEAR(Assumptions!$H$4),H176+H177,0)</f>
        <v>13703952.781931017</v>
      </c>
      <c r="I205" s="147">
        <f ca="1">IF(I69&lt;=YEAR(Assumptions!$H$4),I176+I177,0)</f>
        <v>18155232.402938195</v>
      </c>
      <c r="J205" s="147">
        <f ca="1">IF(J69&lt;=YEAR(Assumptions!$H$4),J176+J177,0)</f>
        <v>18684157.975231003</v>
      </c>
      <c r="K205" s="147">
        <f ca="1">IF(K69&lt;=YEAR(Assumptions!$H$4),K176+K177,0)</f>
        <v>399835025.30387974</v>
      </c>
      <c r="L205" s="147">
        <f>IF(L69&lt;=YEAR(Assumptions!$H$4),L176+L177,0)</f>
        <v>0</v>
      </c>
      <c r="M205" s="147">
        <f>IF(M69&lt;=YEAR(Assumptions!$H$4),M176+M177,0)</f>
        <v>0</v>
      </c>
      <c r="N205" s="147">
        <f>IF(N69&lt;=YEAR(Assumptions!$H$4),N176+N177,0)</f>
        <v>0</v>
      </c>
      <c r="O205" s="147">
        <f>IF(O69&lt;=YEAR(Assumptions!$H$4),O176+O177,0)</f>
        <v>0</v>
      </c>
      <c r="P205" s="147">
        <f>IF(P69&lt;=YEAR(Assumptions!$H$4),P176+P177,0)</f>
        <v>0</v>
      </c>
      <c r="Q205" s="147">
        <f>IF(Q69&lt;=YEAR(Assumptions!$H$4),Q176+Q177,0)</f>
        <v>0</v>
      </c>
      <c r="R205" s="147">
        <f>IF(R69&lt;=YEAR(Assumptions!$H$4),R176+R177,0)</f>
        <v>0</v>
      </c>
    </row>
    <row r="206" spans="2:18" ht="17.100000000000001" thickBot="1">
      <c r="B206" s="299" t="s">
        <v>450</v>
      </c>
      <c r="C206" s="289">
        <f ca="1">SUM(D206:N206)</f>
        <v>124564690.82345164</v>
      </c>
      <c r="D206" s="289">
        <f ca="1">D205+D204</f>
        <v>0</v>
      </c>
      <c r="E206" s="289">
        <f t="shared" ref="E206:N206" ca="1" si="167">E205+E204</f>
        <v>-56664292</v>
      </c>
      <c r="F206" s="289">
        <f t="shared" ca="1" si="167"/>
        <v>-127428143.35897943</v>
      </c>
      <c r="G206" s="289">
        <f t="shared" ca="1" si="167"/>
        <v>-127428143.35897943</v>
      </c>
      <c r="H206" s="289">
        <f t="shared" ca="1" si="167"/>
        <v>-589146.14063843712</v>
      </c>
      <c r="I206" s="289">
        <f t="shared" ca="1" si="167"/>
        <v>18155232.402938195</v>
      </c>
      <c r="J206" s="289">
        <f t="shared" ca="1" si="167"/>
        <v>18684157.975231003</v>
      </c>
      <c r="K206" s="289">
        <f t="shared" ca="1" si="167"/>
        <v>399835025.30387974</v>
      </c>
      <c r="L206" s="289">
        <f t="shared" ca="1" si="167"/>
        <v>0</v>
      </c>
      <c r="M206" s="289">
        <f t="shared" ca="1" si="167"/>
        <v>0</v>
      </c>
      <c r="N206" s="290">
        <f t="shared" ca="1" si="167"/>
        <v>0</v>
      </c>
      <c r="O206" s="290">
        <f t="shared" ref="O206" ca="1" si="168">O205+O204</f>
        <v>0</v>
      </c>
      <c r="P206" s="290">
        <f t="shared" ref="P206" ca="1" si="169">P205+P204</f>
        <v>0</v>
      </c>
      <c r="Q206" s="290">
        <f t="shared" ref="Q206" ca="1" si="170">Q205+Q204</f>
        <v>0</v>
      </c>
      <c r="R206" s="290">
        <f t="shared" ref="R206" ca="1" si="171">R205+R204</f>
        <v>0</v>
      </c>
    </row>
    <row r="207" spans="2:18" ht="17.100000000000001" thickBot="1">
      <c r="B207" s="240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</row>
    <row r="208" spans="2:18">
      <c r="B208" s="292" t="s">
        <v>451</v>
      </c>
      <c r="C208" s="293">
        <f ca="1">IRR(D206:N206)</f>
        <v>7.4792887741130132E-2</v>
      </c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</row>
    <row r="209" spans="2:14" ht="17.100000000000001" thickBot="1">
      <c r="B209" s="294" t="s">
        <v>447</v>
      </c>
      <c r="C209" s="295">
        <f ca="1">C205/-C204</f>
        <v>1.3823187894551328</v>
      </c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</row>
    <row r="210" spans="2:14">
      <c r="B210" s="240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</row>
    <row r="225" spans="2:4">
      <c r="B225" s="128"/>
      <c r="C225" s="259"/>
      <c r="D225" s="146"/>
    </row>
    <row r="226" spans="2:4">
      <c r="B226" s="128"/>
      <c r="C226" s="125"/>
      <c r="D226" s="146"/>
    </row>
    <row r="248" spans="2:3">
      <c r="B248" s="123"/>
      <c r="C248" s="123"/>
    </row>
    <row r="249" spans="2:3">
      <c r="B249" s="123"/>
      <c r="C249" s="123"/>
    </row>
    <row r="250" spans="2:3">
      <c r="B250" s="123"/>
      <c r="C250" s="123"/>
    </row>
    <row r="251" spans="2:3">
      <c r="B251" s="128"/>
      <c r="C251" s="128"/>
    </row>
    <row r="252" spans="2:3">
      <c r="B252" s="128"/>
      <c r="C252" s="128"/>
    </row>
    <row r="253" spans="2:3">
      <c r="B253" s="128"/>
      <c r="C253" s="128"/>
    </row>
    <row r="254" spans="2:3">
      <c r="B254" s="135"/>
      <c r="C254" s="135"/>
    </row>
    <row r="255" spans="2:3">
      <c r="B255" s="128"/>
      <c r="C255" s="128"/>
    </row>
    <row r="256" spans="2:3">
      <c r="B256" s="128"/>
      <c r="C256" s="128"/>
    </row>
    <row r="257" spans="2:3">
      <c r="B257" s="128"/>
      <c r="C257" s="128"/>
    </row>
    <row r="258" spans="2:3">
      <c r="B258" s="128"/>
      <c r="C258" s="128"/>
    </row>
    <row r="259" spans="2:3">
      <c r="B259" s="128"/>
      <c r="C259" s="128"/>
    </row>
    <row r="260" spans="2:3">
      <c r="B260" s="134"/>
      <c r="C260" s="134"/>
    </row>
    <row r="261" spans="2:3">
      <c r="B261" s="123"/>
      <c r="C261" s="123"/>
    </row>
    <row r="262" spans="2:3">
      <c r="B262" s="123"/>
      <c r="C262" s="123"/>
    </row>
    <row r="263" spans="2:3">
      <c r="B263" s="123"/>
      <c r="C263" s="123"/>
    </row>
    <row r="264" spans="2:3">
      <c r="B264" s="128"/>
      <c r="C264" s="128"/>
    </row>
    <row r="266" spans="2:3">
      <c r="B266" s="125"/>
      <c r="C266" s="125"/>
    </row>
    <row r="267" spans="2:3">
      <c r="B267" s="128"/>
      <c r="C267" s="128"/>
    </row>
    <row r="268" spans="2:3">
      <c r="B268" s="125"/>
      <c r="C268" s="125"/>
    </row>
    <row r="269" spans="2:3">
      <c r="B269" s="128"/>
      <c r="C269" s="128"/>
    </row>
    <row r="270" spans="2:3">
      <c r="B270" s="125"/>
      <c r="C270" s="125"/>
    </row>
    <row r="271" spans="2:3">
      <c r="B271" s="128"/>
      <c r="C271" s="128"/>
    </row>
    <row r="272" spans="2:3">
      <c r="B272" s="128"/>
      <c r="C272" s="128"/>
    </row>
    <row r="273" spans="2:3">
      <c r="B273" s="128"/>
      <c r="C273" s="128"/>
    </row>
    <row r="274" spans="2:3">
      <c r="B274" s="128"/>
      <c r="C274" s="128"/>
    </row>
    <row r="276" spans="2:3">
      <c r="B276" s="134"/>
      <c r="C276" s="134"/>
    </row>
    <row r="277" spans="2:3">
      <c r="B277" s="123"/>
      <c r="C277" s="123"/>
    </row>
    <row r="278" spans="2:3">
      <c r="B278" s="123"/>
      <c r="C278" s="123"/>
    </row>
    <row r="279" spans="2:3">
      <c r="B279" s="123"/>
      <c r="C279" s="123"/>
    </row>
    <row r="280" spans="2:3">
      <c r="B280" s="123"/>
      <c r="C280" s="123"/>
    </row>
    <row r="281" spans="2:3">
      <c r="B281" s="123"/>
      <c r="C281" s="123"/>
    </row>
    <row r="282" spans="2:3">
      <c r="B282" s="123"/>
      <c r="C282" s="123"/>
    </row>
    <row r="283" spans="2:3">
      <c r="B283" s="123"/>
      <c r="C283" s="123"/>
    </row>
    <row r="284" spans="2:3">
      <c r="B284" s="125"/>
      <c r="C284" s="125"/>
    </row>
    <row r="285" spans="2:3">
      <c r="B285" s="128"/>
      <c r="C285" s="128"/>
    </row>
    <row r="286" spans="2:3">
      <c r="B286" s="134"/>
      <c r="C286" s="134"/>
    </row>
    <row r="287" spans="2:3">
      <c r="B287" s="123"/>
      <c r="C287" s="123"/>
    </row>
    <row r="288" spans="2:3">
      <c r="B288" s="123"/>
      <c r="C288" s="123"/>
    </row>
    <row r="289" spans="2:3">
      <c r="B289" s="123"/>
      <c r="C289" s="123"/>
    </row>
    <row r="290" spans="2:3">
      <c r="B290" s="123"/>
      <c r="C290" s="123"/>
    </row>
    <row r="291" spans="2:3">
      <c r="B291" s="123"/>
      <c r="C291" s="123"/>
    </row>
    <row r="292" spans="2:3">
      <c r="B292" s="123"/>
      <c r="C292" s="123"/>
    </row>
    <row r="293" spans="2:3">
      <c r="B293" s="123"/>
      <c r="C293" s="123"/>
    </row>
    <row r="294" spans="2:3">
      <c r="B294" s="123"/>
      <c r="C294" s="123"/>
    </row>
    <row r="295" spans="2:3">
      <c r="B295" s="125"/>
      <c r="C295" s="125"/>
    </row>
    <row r="296" spans="2:3">
      <c r="B296" s="128"/>
      <c r="C296" s="128"/>
    </row>
    <row r="297" spans="2:3">
      <c r="B297" s="134"/>
      <c r="C297" s="134"/>
    </row>
    <row r="298" spans="2:3">
      <c r="B298" s="123"/>
      <c r="C298" s="123"/>
    </row>
    <row r="299" spans="2:3">
      <c r="B299" s="123"/>
      <c r="C299" s="123"/>
    </row>
    <row r="300" spans="2:3">
      <c r="B300" s="125"/>
      <c r="C300" s="125"/>
    </row>
    <row r="301" spans="2:3">
      <c r="B301" s="128"/>
      <c r="C301" s="128"/>
    </row>
    <row r="302" spans="2:3">
      <c r="B302" s="125"/>
      <c r="C302" s="125"/>
    </row>
    <row r="303" spans="2:3">
      <c r="B303" s="125"/>
      <c r="C303" s="125"/>
    </row>
    <row r="304" spans="2:3">
      <c r="B304" s="125"/>
      <c r="C304" s="125"/>
    </row>
    <row r="306" spans="2:4">
      <c r="B306" s="134"/>
      <c r="C306" s="134"/>
    </row>
    <row r="307" spans="2:4">
      <c r="B307" s="123"/>
      <c r="C307" s="123"/>
    </row>
    <row r="308" spans="2:4">
      <c r="B308" s="123"/>
      <c r="C308" s="123"/>
      <c r="D308" s="123"/>
    </row>
    <row r="309" spans="2:4">
      <c r="B309" s="123"/>
      <c r="C309" s="123"/>
      <c r="D309" s="123"/>
    </row>
    <row r="310" spans="2:4">
      <c r="B310" s="123"/>
      <c r="C310" s="123"/>
      <c r="D310" s="123"/>
    </row>
    <row r="311" spans="2:4">
      <c r="B311" s="123"/>
      <c r="C311" s="123"/>
      <c r="D311" s="123"/>
    </row>
    <row r="312" spans="2:4">
      <c r="B312" s="123"/>
      <c r="C312" s="123"/>
      <c r="D312" s="123"/>
    </row>
    <row r="313" spans="2:4">
      <c r="B313" s="123"/>
      <c r="C313" s="123"/>
      <c r="D313" s="123"/>
    </row>
    <row r="314" spans="2:4">
      <c r="B314" s="125"/>
      <c r="C314" s="125"/>
      <c r="D314" s="130"/>
    </row>
    <row r="315" spans="2:4">
      <c r="B315" s="128"/>
      <c r="C315" s="128"/>
      <c r="D315" s="123"/>
    </row>
    <row r="316" spans="2:4">
      <c r="B316" s="134"/>
      <c r="C316" s="134"/>
    </row>
    <row r="317" spans="2:4">
      <c r="B317" s="123"/>
      <c r="C317" s="123"/>
    </row>
    <row r="318" spans="2:4">
      <c r="B318" s="123"/>
      <c r="C318" s="123"/>
    </row>
    <row r="319" spans="2:4">
      <c r="B319" s="123"/>
      <c r="C319" s="123"/>
    </row>
    <row r="320" spans="2:4">
      <c r="B320" s="123"/>
      <c r="C320" s="123"/>
    </row>
    <row r="321" spans="2:3">
      <c r="B321" s="123"/>
      <c r="C321" s="123"/>
    </row>
    <row r="322" spans="2:3">
      <c r="B322" s="123"/>
      <c r="C322" s="123"/>
    </row>
    <row r="323" spans="2:3">
      <c r="B323" s="123"/>
      <c r="C323" s="123"/>
    </row>
    <row r="324" spans="2:3">
      <c r="B324" s="123"/>
      <c r="C324" s="123"/>
    </row>
    <row r="325" spans="2:3">
      <c r="B325" s="125"/>
      <c r="C325" s="125"/>
    </row>
    <row r="326" spans="2:3">
      <c r="B326" s="128"/>
      <c r="C326" s="128"/>
    </row>
    <row r="327" spans="2:3">
      <c r="B327" s="123"/>
      <c r="C327" s="123"/>
    </row>
    <row r="328" spans="2:3">
      <c r="B328" s="128"/>
      <c r="C328" s="128"/>
    </row>
    <row r="329" spans="2:3">
      <c r="B329" s="134"/>
      <c r="C329" s="134"/>
    </row>
    <row r="330" spans="2:3">
      <c r="B330" s="123"/>
      <c r="C330" s="123"/>
    </row>
    <row r="331" spans="2:3">
      <c r="B331" s="123"/>
      <c r="C331" s="123"/>
    </row>
    <row r="332" spans="2:3">
      <c r="B332" s="125"/>
      <c r="C332" s="125"/>
    </row>
    <row r="333" spans="2:3">
      <c r="B333" s="128"/>
      <c r="C333" s="128"/>
    </row>
    <row r="334" spans="2:3">
      <c r="B334" s="125"/>
      <c r="C334" s="125"/>
    </row>
    <row r="335" spans="2:3">
      <c r="B335" s="125"/>
      <c r="C335" s="125"/>
    </row>
    <row r="336" spans="2:3">
      <c r="B336" s="125"/>
      <c r="C336" s="125"/>
    </row>
    <row r="337" spans="2:3">
      <c r="B337" s="123"/>
      <c r="C337" s="123"/>
    </row>
    <row r="338" spans="2:3">
      <c r="B338" s="123"/>
      <c r="C338" s="123"/>
    </row>
    <row r="339" spans="2:3">
      <c r="B339" s="123"/>
      <c r="C339" s="123"/>
    </row>
    <row r="340" spans="2:3">
      <c r="B340" s="123"/>
      <c r="C340" s="123"/>
    </row>
    <row r="341" spans="2:3">
      <c r="B341" s="125"/>
      <c r="C341" s="125"/>
    </row>
    <row r="342" spans="2:3">
      <c r="B342" s="128"/>
      <c r="C342" s="128"/>
    </row>
    <row r="343" spans="2:3">
      <c r="B343" s="134"/>
      <c r="C343" s="134"/>
    </row>
    <row r="344" spans="2:3">
      <c r="B344" s="123"/>
      <c r="C344" s="123"/>
    </row>
    <row r="345" spans="2:3">
      <c r="B345" s="123"/>
      <c r="C345" s="123"/>
    </row>
    <row r="346" spans="2:3">
      <c r="B346" s="125"/>
      <c r="C346" s="125"/>
    </row>
    <row r="347" spans="2:3">
      <c r="B347" s="128"/>
      <c r="C347" s="128"/>
    </row>
    <row r="348" spans="2:3">
      <c r="B348" s="125"/>
      <c r="C348" s="125"/>
    </row>
    <row r="349" spans="2:3">
      <c r="B349" s="125"/>
      <c r="C349" s="125"/>
    </row>
    <row r="350" spans="2:3">
      <c r="B350" s="125"/>
      <c r="C350" s="125"/>
    </row>
    <row r="351" spans="2:3">
      <c r="B351" s="128"/>
      <c r="C351" s="128"/>
    </row>
    <row r="352" spans="2:3">
      <c r="B352" s="136" t="s">
        <v>452</v>
      </c>
      <c r="C352" s="136"/>
    </row>
    <row r="353" spans="2:3">
      <c r="B353" s="125"/>
      <c r="C353" s="125"/>
    </row>
    <row r="354" spans="2:3">
      <c r="B354" s="134"/>
      <c r="C354" s="134"/>
    </row>
    <row r="355" spans="2:3">
      <c r="B355" s="123"/>
      <c r="C355" s="123"/>
    </row>
    <row r="356" spans="2:3">
      <c r="B356" s="123"/>
      <c r="C356" s="123"/>
    </row>
    <row r="357" spans="2:3">
      <c r="B357" s="123"/>
      <c r="C357" s="123"/>
    </row>
    <row r="358" spans="2:3">
      <c r="B358" s="123"/>
      <c r="C358" s="123"/>
    </row>
    <row r="359" spans="2:3">
      <c r="B359" s="123"/>
      <c r="C359" s="123"/>
    </row>
    <row r="360" spans="2:3">
      <c r="B360" s="123"/>
      <c r="C360" s="123"/>
    </row>
    <row r="361" spans="2:3">
      <c r="B361" s="123"/>
      <c r="C361" s="123"/>
    </row>
    <row r="362" spans="2:3">
      <c r="B362" s="125"/>
      <c r="C362" s="125"/>
    </row>
    <row r="363" spans="2:3">
      <c r="B363" s="125"/>
      <c r="C363" s="125"/>
    </row>
    <row r="364" spans="2:3">
      <c r="B364" s="125"/>
      <c r="C364" s="125"/>
    </row>
    <row r="365" spans="2:3">
      <c r="B365" s="125"/>
      <c r="C365" s="125"/>
    </row>
    <row r="366" spans="2:3">
      <c r="B366" s="134"/>
      <c r="C366" s="134"/>
    </row>
    <row r="367" spans="2:3">
      <c r="B367" s="123"/>
      <c r="C367" s="123"/>
    </row>
    <row r="368" spans="2:3">
      <c r="B368" s="123"/>
      <c r="C368" s="123"/>
    </row>
    <row r="369" spans="2:3">
      <c r="B369" s="123"/>
      <c r="C369" s="123"/>
    </row>
    <row r="370" spans="2:3">
      <c r="B370" s="123"/>
      <c r="C370" s="123"/>
    </row>
    <row r="371" spans="2:3">
      <c r="B371" s="123"/>
      <c r="C371" s="123"/>
    </row>
    <row r="372" spans="2:3">
      <c r="B372" s="123"/>
      <c r="C372" s="123"/>
    </row>
    <row r="373" spans="2:3">
      <c r="B373" s="123"/>
      <c r="C373" s="123"/>
    </row>
    <row r="374" spans="2:3">
      <c r="B374" s="123"/>
      <c r="C374" s="123"/>
    </row>
    <row r="375" spans="2:3">
      <c r="B375" s="125"/>
      <c r="C375" s="125"/>
    </row>
    <row r="376" spans="2:3">
      <c r="B376" s="128"/>
      <c r="C376" s="128"/>
    </row>
    <row r="377" spans="2:3">
      <c r="B377" s="125"/>
      <c r="C377" s="125"/>
    </row>
    <row r="378" spans="2:3">
      <c r="B378" s="125"/>
      <c r="C378" s="125"/>
    </row>
    <row r="379" spans="2:3">
      <c r="B379" s="128"/>
      <c r="C379" s="128"/>
    </row>
    <row r="380" spans="2:3">
      <c r="B380" s="128"/>
      <c r="C380" s="128"/>
    </row>
    <row r="381" spans="2:3">
      <c r="B381" s="128"/>
      <c r="C381" s="128"/>
    </row>
    <row r="382" spans="2:3">
      <c r="B382" s="134"/>
      <c r="C382" s="134"/>
    </row>
    <row r="383" spans="2:3">
      <c r="B383" s="123"/>
      <c r="C383" s="123"/>
    </row>
    <row r="384" spans="2:3">
      <c r="B384" s="123"/>
      <c r="C384" s="123"/>
    </row>
    <row r="385" spans="2:3">
      <c r="B385" s="123"/>
      <c r="C385" s="123"/>
    </row>
    <row r="386" spans="2:3">
      <c r="B386" s="123"/>
      <c r="C386" s="123"/>
    </row>
    <row r="387" spans="2:3">
      <c r="B387" s="123"/>
      <c r="C387" s="123"/>
    </row>
    <row r="388" spans="2:3">
      <c r="B388" s="123"/>
      <c r="C388" s="123"/>
    </row>
    <row r="389" spans="2:3">
      <c r="B389" s="123"/>
      <c r="C389" s="123"/>
    </row>
    <row r="390" spans="2:3">
      <c r="B390" s="128"/>
      <c r="C390" s="128"/>
    </row>
    <row r="391" spans="2:3">
      <c r="B391" s="128"/>
      <c r="C391" s="128"/>
    </row>
    <row r="392" spans="2:3">
      <c r="B392" s="136"/>
      <c r="C392" s="136"/>
    </row>
    <row r="393" spans="2:3">
      <c r="B393" s="125"/>
      <c r="C393" s="125"/>
    </row>
    <row r="394" spans="2:3">
      <c r="B394" s="134"/>
      <c r="C394" s="134"/>
    </row>
    <row r="395" spans="2:3">
      <c r="B395" s="123"/>
      <c r="C395" s="123"/>
    </row>
    <row r="396" spans="2:3">
      <c r="B396" s="123"/>
      <c r="C396" s="123"/>
    </row>
    <row r="397" spans="2:3">
      <c r="B397" s="123"/>
      <c r="C397" s="123"/>
    </row>
    <row r="398" spans="2:3">
      <c r="B398" s="123"/>
      <c r="C398" s="123"/>
    </row>
    <row r="399" spans="2:3">
      <c r="B399" s="123"/>
      <c r="C399" s="123"/>
    </row>
    <row r="400" spans="2:3">
      <c r="B400" s="123"/>
      <c r="C400" s="123"/>
    </row>
    <row r="401" spans="2:3">
      <c r="B401" s="123"/>
      <c r="C401" s="123"/>
    </row>
    <row r="402" spans="2:3">
      <c r="B402" s="125"/>
      <c r="C402" s="125"/>
    </row>
    <row r="403" spans="2:3">
      <c r="B403" s="125"/>
      <c r="C403" s="125"/>
    </row>
    <row r="404" spans="2:3">
      <c r="B404" s="125"/>
      <c r="C404" s="125"/>
    </row>
    <row r="405" spans="2:3">
      <c r="B405" s="125"/>
      <c r="C405" s="125"/>
    </row>
    <row r="406" spans="2:3">
      <c r="B406" s="134"/>
      <c r="C406" s="134"/>
    </row>
    <row r="407" spans="2:3">
      <c r="B407" s="123"/>
      <c r="C407" s="123"/>
    </row>
    <row r="408" spans="2:3">
      <c r="B408" s="123"/>
      <c r="C408" s="123"/>
    </row>
    <row r="409" spans="2:3">
      <c r="B409" s="123"/>
      <c r="C409" s="123"/>
    </row>
    <row r="410" spans="2:3">
      <c r="B410" s="123"/>
      <c r="C410" s="123"/>
    </row>
    <row r="411" spans="2:3">
      <c r="B411" s="123"/>
      <c r="C411" s="123"/>
    </row>
    <row r="412" spans="2:3">
      <c r="B412" s="123"/>
      <c r="C412" s="123"/>
    </row>
    <row r="413" spans="2:3">
      <c r="B413" s="123"/>
      <c r="C413" s="123"/>
    </row>
    <row r="414" spans="2:3">
      <c r="B414" s="123"/>
      <c r="C414" s="123"/>
    </row>
    <row r="415" spans="2:3">
      <c r="B415" s="125"/>
      <c r="C415" s="125"/>
    </row>
    <row r="416" spans="2:3">
      <c r="B416" s="128"/>
      <c r="C416" s="128"/>
    </row>
    <row r="417" spans="2:3">
      <c r="B417" s="125"/>
      <c r="C417" s="125"/>
    </row>
    <row r="418" spans="2:3">
      <c r="B418" s="125"/>
      <c r="C418" s="125"/>
    </row>
    <row r="419" spans="2:3">
      <c r="B419" s="128"/>
      <c r="C419" s="128"/>
    </row>
    <row r="420" spans="2:3">
      <c r="B420" s="128"/>
      <c r="C420" s="128"/>
    </row>
    <row r="421" spans="2:3">
      <c r="B421" s="128"/>
      <c r="C421" s="128"/>
    </row>
    <row r="422" spans="2:3">
      <c r="B422" s="134"/>
      <c r="C422" s="134"/>
    </row>
    <row r="423" spans="2:3">
      <c r="B423" s="123"/>
      <c r="C423" s="123"/>
    </row>
    <row r="424" spans="2:3">
      <c r="B424" s="123"/>
      <c r="C424" s="123"/>
    </row>
    <row r="425" spans="2:3">
      <c r="B425" s="123"/>
      <c r="C425" s="123"/>
    </row>
    <row r="426" spans="2:3">
      <c r="B426" s="123"/>
      <c r="C426" s="123"/>
    </row>
    <row r="427" spans="2:3">
      <c r="B427" s="123"/>
      <c r="C427" s="123"/>
    </row>
    <row r="428" spans="2:3">
      <c r="B428" s="123"/>
      <c r="C428" s="123"/>
    </row>
    <row r="429" spans="2:3">
      <c r="B429" s="123"/>
      <c r="C429" s="123"/>
    </row>
    <row r="430" spans="2:3">
      <c r="B430" s="128"/>
      <c r="C430" s="128"/>
    </row>
  </sheetData>
  <pageMargins left="0.7" right="0.7" top="0.75" bottom="0.75" header="0.3" footer="0.3"/>
  <pageSetup orientation="portrait" horizontalDpi="0" verticalDpi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D0D48330F6CE4FB6B3AE62FA39CE46" ma:contentTypeVersion="13" ma:contentTypeDescription="Create a new document." ma:contentTypeScope="" ma:versionID="f32cc034c3758f9fd30b54e541e82f85">
  <xsd:schema xmlns:xsd="http://www.w3.org/2001/XMLSchema" xmlns:xs="http://www.w3.org/2001/XMLSchema" xmlns:p="http://schemas.microsoft.com/office/2006/metadata/properties" xmlns:ns2="07832773-9414-42b9-95c3-36a558d8f74c" xmlns:ns3="9f6012f1-210b-47d8-98a5-79507b18255d" targetNamespace="http://schemas.microsoft.com/office/2006/metadata/properties" ma:root="true" ma:fieldsID="e2d3c521a65e7e39ac94d6cca4bf610c" ns2:_="" ns3:_="">
    <xsd:import namespace="07832773-9414-42b9-95c3-36a558d8f74c"/>
    <xsd:import namespace="9f6012f1-210b-47d8-98a5-79507b18255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832773-9414-42b9-95c3-36a558d8f7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6012f1-210b-47d8-98a5-79507b18255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4878DF8-F612-4E3E-A95C-BEAFF2BF1F22}"/>
</file>

<file path=customXml/itemProps2.xml><?xml version="1.0" encoding="utf-8"?>
<ds:datastoreItem xmlns:ds="http://schemas.openxmlformats.org/officeDocument/2006/customXml" ds:itemID="{4B6BEFFD-E5AD-4C08-B2A1-726CC5654EF9}"/>
</file>

<file path=customXml/itemProps3.xml><?xml version="1.0" encoding="utf-8"?>
<ds:datastoreItem xmlns:ds="http://schemas.openxmlformats.org/officeDocument/2006/customXml" ds:itemID="{A83C42E3-EBCB-4E51-ACDF-A0C4EF4DE7C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Sarah Kraatz</cp:lastModifiedBy>
  <cp:revision/>
  <dcterms:created xsi:type="dcterms:W3CDTF">2022-01-20T04:46:33Z</dcterms:created>
  <dcterms:modified xsi:type="dcterms:W3CDTF">2022-01-26T19:28:38Z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0x01010007D0D48330F6CE4FB6B3AE62FA39CE46</vt:lpwstr>
  </property>
</Properties>
</file>