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li.sharepoint.com/sites/awards/Awards 2019/00 -I Drive/2021/ULI Hines Student Competition/Team Submissions/2021-2414-The Bowline/"/>
    </mc:Choice>
  </mc:AlternateContent>
  <xr:revisionPtr revIDLastSave="0" documentId="8_{301FD028-FFDA-4159-83DE-06AC851B1D27}" xr6:coauthVersionLast="46" xr6:coauthVersionMax="46" xr10:uidLastSave="{00000000-0000-0000-0000-000000000000}"/>
  <bookViews>
    <workbookView xWindow="0" yWindow="500" windowWidth="29040" windowHeight="15840" xr2:uid="{5A0BD8C1-BDF5-4C96-A4E9-F12FB635C7F0}"/>
  </bookViews>
  <sheets>
    <sheet name="Summary Board" sheetId="13" r:id="rId1"/>
    <sheet name="Supplement" sheetId="26" r:id="rId2"/>
    <sheet name="Assumptions" sheetId="15" r:id="rId3"/>
    <sheet name="Parcels" sheetId="12" r:id="rId4"/>
    <sheet name="Summary Board PH1" sheetId="24" r:id="rId5"/>
    <sheet name="Phase I - CF MF Market Rental" sheetId="2" r:id="rId6"/>
    <sheet name="Phase I - CF Affordable" sheetId="23" r:id="rId7"/>
    <sheet name="Phase I - CF Commercial" sheetId="4" r:id="rId8"/>
    <sheet name="Phase I - CF Civic" sheetId="17" r:id="rId9"/>
    <sheet name="Phase I - CF Retail" sheetId="5" r:id="rId10"/>
    <sheet name="Summary Board PH2" sheetId="25" r:id="rId11"/>
    <sheet name="Phase II - CF MF Market Rental" sheetId="19" r:id="rId12"/>
    <sheet name="Phase II - CF Affordable Rent" sheetId="18" r:id="rId13"/>
    <sheet name="Phase II - CF Commercial" sheetId="20" r:id="rId14"/>
    <sheet name="Phase II - CF Retail" sheetId="21" r:id="rId15"/>
    <sheet name="Phase II - CF Civic" sheetId="22" r:id="rId16"/>
    <sheet name="Phase II - CF Hotel" sheetId="11" r:id="rId17"/>
  </sheets>
  <definedNames>
    <definedName name="_xlnm.Print_Area" localSheetId="2">Assumptions!$A$1:$Y$78</definedName>
    <definedName name="_xlnm.Print_Area" localSheetId="3">Parcels!$B$1:$R$61</definedName>
    <definedName name="_xlnm.Print_Area" localSheetId="6">'Phase I - CF Affordable'!$B$2:$W$92</definedName>
    <definedName name="_xlnm.Print_Area" localSheetId="8">'Phase I - CF Civic'!$B$2:$S$87</definedName>
    <definedName name="_xlnm.Print_Area" localSheetId="7">'Phase I - CF Commercial'!$B$2:$S$94</definedName>
    <definedName name="_xlnm.Print_Area" localSheetId="5">'Phase I - CF MF Market Rental'!$B$2:$R$93</definedName>
    <definedName name="_xlnm.Print_Area" localSheetId="9">'Phase I - CF Retail'!$B$2:$R$95</definedName>
    <definedName name="_xlnm.Print_Area" localSheetId="12">'Phase II - CF Affordable Rent'!$B$2:$W$92</definedName>
    <definedName name="_xlnm.Print_Area" localSheetId="15">'Phase II - CF Civic'!$B$2:$S$94</definedName>
    <definedName name="_xlnm.Print_Area" localSheetId="13">'Phase II - CF Commercial'!$B$2:$S$87</definedName>
    <definedName name="_xlnm.Print_Area" localSheetId="16">'Phase II - CF Hotel'!$B$2:$R$94</definedName>
    <definedName name="_xlnm.Print_Area" localSheetId="11">'Phase II - CF MF Market Rental'!$B$2:$R$93</definedName>
    <definedName name="_xlnm.Print_Area" localSheetId="14">'Phase II - CF Retail'!$B$2:$R$95</definedName>
    <definedName name="_xlnm.Print_Area" localSheetId="0">'Summary Board'!$B$2:$O$79</definedName>
    <definedName name="_xlnm.Print_Area" localSheetId="4">'Summary Board PH1'!$B$2:$O$79</definedName>
    <definedName name="_xlnm.Print_Area" localSheetId="10">'Summary Board PH2'!$B$2:$O$79</definedName>
    <definedName name="Z_DA75CE0E_28DA_45FE_B807_6316CEFCF1F3_.wvu.FilterData" localSheetId="2" hidden="1">Assumptions!$C$5:$I$26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25" l="1"/>
  <c r="F27" i="25"/>
  <c r="E27" i="25"/>
  <c r="G14" i="25"/>
  <c r="F14" i="25"/>
  <c r="H27" i="24"/>
  <c r="G27" i="24"/>
  <c r="D79" i="25"/>
  <c r="C63" i="25"/>
  <c r="F44" i="25"/>
  <c r="G44" i="25" s="1"/>
  <c r="H44" i="25" s="1"/>
  <c r="I44" i="25" s="1"/>
  <c r="J44" i="25" s="1"/>
  <c r="K44" i="25" s="1"/>
  <c r="L44" i="25" s="1"/>
  <c r="M44" i="25" s="1"/>
  <c r="N44" i="25" s="1"/>
  <c r="E36" i="25"/>
  <c r="E30" i="25"/>
  <c r="O27" i="25"/>
  <c r="N27" i="25"/>
  <c r="N33" i="25" s="1"/>
  <c r="M27" i="25"/>
  <c r="M33" i="25" s="1"/>
  <c r="L27" i="25"/>
  <c r="L33" i="25" s="1"/>
  <c r="K27" i="25"/>
  <c r="K33" i="25" s="1"/>
  <c r="J27" i="25"/>
  <c r="J33" i="25" s="1"/>
  <c r="I27" i="25"/>
  <c r="I33" i="25" s="1"/>
  <c r="G24" i="25"/>
  <c r="E14" i="25"/>
  <c r="G4" i="25"/>
  <c r="H4" i="25" s="1"/>
  <c r="I4" i="25" s="1"/>
  <c r="J4" i="25" s="1"/>
  <c r="K4" i="25" s="1"/>
  <c r="L4" i="25" s="1"/>
  <c r="M4" i="25" s="1"/>
  <c r="N4" i="25" s="1"/>
  <c r="F4" i="25"/>
  <c r="D79" i="24"/>
  <c r="C63" i="24"/>
  <c r="F44" i="24"/>
  <c r="G44" i="24" s="1"/>
  <c r="H44" i="24" s="1"/>
  <c r="I44" i="24" s="1"/>
  <c r="J44" i="24" s="1"/>
  <c r="K44" i="24" s="1"/>
  <c r="L44" i="24" s="1"/>
  <c r="M44" i="24" s="1"/>
  <c r="N44" i="24" s="1"/>
  <c r="E36" i="24"/>
  <c r="E30" i="24"/>
  <c r="O27" i="24"/>
  <c r="N27" i="24"/>
  <c r="N33" i="24" s="1"/>
  <c r="M27" i="24"/>
  <c r="M33" i="24" s="1"/>
  <c r="L27" i="24"/>
  <c r="L33" i="24" s="1"/>
  <c r="K27" i="24"/>
  <c r="K33" i="24" s="1"/>
  <c r="J27" i="24"/>
  <c r="J33" i="24" s="1"/>
  <c r="I27" i="24"/>
  <c r="I33" i="24" s="1"/>
  <c r="E14" i="24"/>
  <c r="F4" i="24"/>
  <c r="G4" i="24" s="1"/>
  <c r="H4" i="24" s="1"/>
  <c r="I4" i="24" s="1"/>
  <c r="J4" i="24" s="1"/>
  <c r="K4" i="24" s="1"/>
  <c r="L4" i="24" s="1"/>
  <c r="M4" i="24" s="1"/>
  <c r="N4" i="24" s="1"/>
  <c r="O27" i="13"/>
  <c r="O4" i="25" l="1"/>
  <c r="O4" i="24"/>
  <c r="E36" i="13"/>
  <c r="F48" i="15"/>
  <c r="E48" i="15"/>
  <c r="O27" i="15"/>
  <c r="O25" i="15"/>
  <c r="O7" i="15"/>
  <c r="B84" i="23"/>
  <c r="B82" i="23"/>
  <c r="B81" i="23"/>
  <c r="B80" i="23"/>
  <c r="R45" i="23"/>
  <c r="Q45" i="23"/>
  <c r="P45" i="23"/>
  <c r="O45" i="23"/>
  <c r="N45" i="23"/>
  <c r="M45" i="23"/>
  <c r="L45" i="23"/>
  <c r="K45" i="23"/>
  <c r="J45" i="23"/>
  <c r="I45" i="23"/>
  <c r="H45" i="23"/>
  <c r="H44" i="23"/>
  <c r="G38" i="23"/>
  <c r="M28" i="23"/>
  <c r="M26" i="23"/>
  <c r="U20" i="23"/>
  <c r="D79" i="13"/>
  <c r="O58" i="15"/>
  <c r="P58" i="15" s="1"/>
  <c r="Q58" i="15" s="1"/>
  <c r="R58" i="15" s="1"/>
  <c r="S58" i="15" s="1"/>
  <c r="T58" i="15" s="1"/>
  <c r="U58" i="15" s="1"/>
  <c r="V58" i="15" s="1"/>
  <c r="W58" i="15" s="1"/>
  <c r="X58" i="15" s="1"/>
  <c r="O60" i="15"/>
  <c r="P60" i="15" s="1"/>
  <c r="Q60" i="15" s="1"/>
  <c r="O61" i="15"/>
  <c r="P61" i="15" s="1"/>
  <c r="Q61" i="15" s="1"/>
  <c r="O62" i="15"/>
  <c r="P62" i="15" s="1"/>
  <c r="Q62" i="15" s="1"/>
  <c r="O63" i="15"/>
  <c r="P63" i="15" s="1"/>
  <c r="Q63" i="15" s="1"/>
  <c r="R63" i="15" s="1"/>
  <c r="S63" i="15" s="1"/>
  <c r="T63" i="15" s="1"/>
  <c r="U63" i="15" s="1"/>
  <c r="V63" i="15" s="1"/>
  <c r="W63" i="15" s="1"/>
  <c r="X63" i="15" s="1"/>
  <c r="O64" i="15"/>
  <c r="P64" i="15" s="1"/>
  <c r="Q64" i="15" s="1"/>
  <c r="O68" i="15"/>
  <c r="P68" i="15"/>
  <c r="Q68" i="15"/>
  <c r="R68" i="15" s="1"/>
  <c r="S68" i="15" s="1"/>
  <c r="T68" i="15" s="1"/>
  <c r="U68" i="15" s="1"/>
  <c r="V68" i="15" s="1"/>
  <c r="W68" i="15" s="1"/>
  <c r="X68" i="15" s="1"/>
  <c r="O70" i="15"/>
  <c r="P70" i="15" s="1"/>
  <c r="Q70" i="15" s="1"/>
  <c r="R70" i="15" s="1"/>
  <c r="O71" i="15"/>
  <c r="P71" i="15" s="1"/>
  <c r="Q71" i="15" s="1"/>
  <c r="R71" i="15" s="1"/>
  <c r="O72" i="15"/>
  <c r="P72" i="15" s="1"/>
  <c r="Q72" i="15" s="1"/>
  <c r="R72" i="15" s="1"/>
  <c r="S72" i="15" s="1"/>
  <c r="T72" i="15" s="1"/>
  <c r="U72" i="15" s="1"/>
  <c r="V72" i="15" s="1"/>
  <c r="W72" i="15" s="1"/>
  <c r="X72" i="15" s="1"/>
  <c r="O73" i="15"/>
  <c r="P73" i="15" s="1"/>
  <c r="Q73" i="15" s="1"/>
  <c r="R73" i="15" s="1"/>
  <c r="N27" i="13"/>
  <c r="N33" i="13" s="1"/>
  <c r="M27" i="13"/>
  <c r="M33" i="13" s="1"/>
  <c r="L27" i="13"/>
  <c r="L33" i="13" s="1"/>
  <c r="K27" i="13"/>
  <c r="K33" i="13" s="1"/>
  <c r="J27" i="13"/>
  <c r="J33" i="13" s="1"/>
  <c r="I27" i="13"/>
  <c r="I33" i="13" s="1"/>
  <c r="G78" i="2"/>
  <c r="E14" i="13"/>
  <c r="R60" i="15" l="1"/>
  <c r="S60" i="15" s="1"/>
  <c r="T60" i="15" s="1"/>
  <c r="U60" i="15" s="1"/>
  <c r="V60" i="15" s="1"/>
  <c r="W60" i="15" s="1"/>
  <c r="X60" i="15" s="1"/>
  <c r="E59" i="15"/>
  <c r="H75" i="23"/>
  <c r="H38" i="23"/>
  <c r="I44" i="23"/>
  <c r="H64" i="23"/>
  <c r="R61" i="15"/>
  <c r="S61" i="15" s="1"/>
  <c r="T61" i="15" s="1"/>
  <c r="U61" i="15" s="1"/>
  <c r="V61" i="15" s="1"/>
  <c r="W61" i="15" s="1"/>
  <c r="X61" i="15" s="1"/>
  <c r="E60" i="15"/>
  <c r="G60" i="15" s="1"/>
  <c r="H68" i="15"/>
  <c r="E65" i="15"/>
  <c r="F5" i="18" s="1"/>
  <c r="H61" i="15"/>
  <c r="S71" i="15"/>
  <c r="T71" i="15" s="1"/>
  <c r="U71" i="15" s="1"/>
  <c r="V71" i="15" s="1"/>
  <c r="W71" i="15" s="1"/>
  <c r="X71" i="15" s="1"/>
  <c r="E62" i="15"/>
  <c r="G62" i="15" s="1"/>
  <c r="R64" i="15"/>
  <c r="S64" i="15" s="1"/>
  <c r="T64" i="15" s="1"/>
  <c r="U64" i="15" s="1"/>
  <c r="V64" i="15" s="1"/>
  <c r="W64" i="15" s="1"/>
  <c r="X64" i="15" s="1"/>
  <c r="H62" i="15"/>
  <c r="S73" i="15"/>
  <c r="T73" i="15" s="1"/>
  <c r="U73" i="15" s="1"/>
  <c r="V73" i="15" s="1"/>
  <c r="W73" i="15" s="1"/>
  <c r="X73" i="15" s="1"/>
  <c r="S70" i="15"/>
  <c r="T70" i="15" s="1"/>
  <c r="U70" i="15" s="1"/>
  <c r="V70" i="15" s="1"/>
  <c r="W70" i="15" s="1"/>
  <c r="X70" i="15" s="1"/>
  <c r="H60" i="15"/>
  <c r="G21" i="4" s="1"/>
  <c r="E68" i="15"/>
  <c r="G68" i="15" s="1"/>
  <c r="F6" i="11" s="1"/>
  <c r="R62" i="15"/>
  <c r="S62" i="15" s="1"/>
  <c r="T62" i="15" s="1"/>
  <c r="U62" i="15" s="1"/>
  <c r="V62" i="15" s="1"/>
  <c r="W62" i="15" s="1"/>
  <c r="X62" i="15" s="1"/>
  <c r="E61" i="15"/>
  <c r="G61" i="15" s="1"/>
  <c r="C63" i="13"/>
  <c r="E30" i="13"/>
  <c r="G4" i="22"/>
  <c r="R92" i="22"/>
  <c r="Q92" i="22"/>
  <c r="P92" i="22"/>
  <c r="O92" i="22"/>
  <c r="N92" i="22"/>
  <c r="M92" i="22"/>
  <c r="L92" i="22"/>
  <c r="K92" i="22"/>
  <c r="J92" i="22"/>
  <c r="I92" i="22"/>
  <c r="H92" i="22"/>
  <c r="C55" i="22"/>
  <c r="C54" i="22"/>
  <c r="C53" i="22"/>
  <c r="C52" i="22"/>
  <c r="C51" i="22"/>
  <c r="R41" i="22"/>
  <c r="Q41" i="22"/>
  <c r="P41" i="22"/>
  <c r="O41" i="22"/>
  <c r="N41" i="22"/>
  <c r="M41" i="22"/>
  <c r="L41" i="22"/>
  <c r="K41" i="22"/>
  <c r="J41" i="22"/>
  <c r="I41" i="22"/>
  <c r="H41" i="22"/>
  <c r="I40" i="22"/>
  <c r="I88" i="22" s="1"/>
  <c r="H40" i="22"/>
  <c r="H77" i="22" s="1"/>
  <c r="N25" i="22"/>
  <c r="F8" i="22"/>
  <c r="G4" i="21"/>
  <c r="R94" i="21"/>
  <c r="Q94" i="21"/>
  <c r="P94" i="21"/>
  <c r="O94" i="21"/>
  <c r="N94" i="21"/>
  <c r="M94" i="21"/>
  <c r="L94" i="21"/>
  <c r="K94" i="21"/>
  <c r="J94" i="21"/>
  <c r="I94" i="21"/>
  <c r="H94" i="21"/>
  <c r="C57" i="21"/>
  <c r="C56" i="21"/>
  <c r="C55" i="21"/>
  <c r="C54" i="21"/>
  <c r="C53" i="21"/>
  <c r="R43" i="21"/>
  <c r="Q43" i="21"/>
  <c r="P43" i="21"/>
  <c r="O43" i="21"/>
  <c r="N43" i="21"/>
  <c r="M43" i="21"/>
  <c r="L43" i="21"/>
  <c r="K43" i="21"/>
  <c r="J43" i="21"/>
  <c r="I43" i="21"/>
  <c r="H43" i="21"/>
  <c r="I42" i="21"/>
  <c r="I90" i="21" s="1"/>
  <c r="H42" i="21"/>
  <c r="H79" i="21" s="1"/>
  <c r="N25" i="21"/>
  <c r="F8" i="21"/>
  <c r="G4" i="20"/>
  <c r="R92" i="20"/>
  <c r="Q92" i="20"/>
  <c r="P92" i="20"/>
  <c r="O92" i="20"/>
  <c r="N92" i="20"/>
  <c r="M92" i="20"/>
  <c r="L92" i="20"/>
  <c r="K92" i="20"/>
  <c r="J92" i="20"/>
  <c r="I92" i="20"/>
  <c r="H92" i="20"/>
  <c r="C55" i="20"/>
  <c r="C54" i="20"/>
  <c r="C53" i="20"/>
  <c r="C52" i="20"/>
  <c r="C51" i="20"/>
  <c r="R41" i="20"/>
  <c r="Q41" i="20"/>
  <c r="P41" i="20"/>
  <c r="O41" i="20"/>
  <c r="N41" i="20"/>
  <c r="M41" i="20"/>
  <c r="L41" i="20"/>
  <c r="K41" i="20"/>
  <c r="J41" i="20"/>
  <c r="I41" i="20"/>
  <c r="H41" i="20"/>
  <c r="H40" i="20"/>
  <c r="H77" i="20" s="1"/>
  <c r="N25" i="20"/>
  <c r="F8" i="20"/>
  <c r="F8" i="11"/>
  <c r="G22" i="11"/>
  <c r="L18" i="11"/>
  <c r="M26" i="18"/>
  <c r="B85" i="19"/>
  <c r="B83" i="19"/>
  <c r="B82" i="19"/>
  <c r="B81" i="19"/>
  <c r="R45" i="19"/>
  <c r="Q45" i="19"/>
  <c r="P45" i="19"/>
  <c r="O45" i="19"/>
  <c r="N45" i="19"/>
  <c r="M45" i="19"/>
  <c r="L45" i="19"/>
  <c r="K45" i="19"/>
  <c r="J45" i="19"/>
  <c r="I45" i="19"/>
  <c r="H45" i="19"/>
  <c r="H44" i="19"/>
  <c r="H37" i="19"/>
  <c r="G37" i="19"/>
  <c r="M27" i="19"/>
  <c r="F8" i="19"/>
  <c r="T17" i="15"/>
  <c r="O16" i="15"/>
  <c r="G21" i="17"/>
  <c r="M28" i="18"/>
  <c r="B84" i="18"/>
  <c r="B82" i="18"/>
  <c r="B81" i="18"/>
  <c r="B80" i="18"/>
  <c r="R45" i="18"/>
  <c r="Q45" i="18"/>
  <c r="P45" i="18"/>
  <c r="O45" i="18"/>
  <c r="N45" i="18"/>
  <c r="M45" i="18"/>
  <c r="L45" i="18"/>
  <c r="K45" i="18"/>
  <c r="J45" i="18"/>
  <c r="I45" i="18"/>
  <c r="H45" i="18"/>
  <c r="I44" i="18"/>
  <c r="H44" i="18"/>
  <c r="H38" i="18"/>
  <c r="G38" i="18"/>
  <c r="U20" i="18"/>
  <c r="F5" i="11" l="1"/>
  <c r="G59" i="15"/>
  <c r="F6" i="23" s="1"/>
  <c r="F5" i="23"/>
  <c r="G65" i="15"/>
  <c r="I64" i="23"/>
  <c r="I75" i="23"/>
  <c r="J44" i="23"/>
  <c r="I38" i="23"/>
  <c r="E66" i="15"/>
  <c r="H67" i="15"/>
  <c r="E67" i="15"/>
  <c r="H66" i="15"/>
  <c r="G21" i="20" s="1"/>
  <c r="H69" i="15"/>
  <c r="G21" i="22" s="1"/>
  <c r="F5" i="19"/>
  <c r="E69" i="15"/>
  <c r="I66" i="22"/>
  <c r="I67" i="22" s="1"/>
  <c r="I77" i="22"/>
  <c r="J40" i="22"/>
  <c r="H88" i="22"/>
  <c r="H66" i="22"/>
  <c r="H67" i="22" s="1"/>
  <c r="I68" i="21"/>
  <c r="I69" i="21" s="1"/>
  <c r="I79" i="21"/>
  <c r="J42" i="21"/>
  <c r="H90" i="21"/>
  <c r="H68" i="21"/>
  <c r="H69" i="21" s="1"/>
  <c r="I40" i="20"/>
  <c r="H88" i="20"/>
  <c r="H66" i="20"/>
  <c r="H67" i="20" s="1"/>
  <c r="H76" i="19"/>
  <c r="I37" i="19"/>
  <c r="H65" i="19"/>
  <c r="I44" i="19"/>
  <c r="I38" i="18"/>
  <c r="J44" i="18"/>
  <c r="H75" i="18"/>
  <c r="I75" i="18"/>
  <c r="H64" i="18"/>
  <c r="I64" i="18"/>
  <c r="F6" i="19" l="1"/>
  <c r="F6" i="18"/>
  <c r="J64" i="23"/>
  <c r="K44" i="23"/>
  <c r="J75" i="23"/>
  <c r="J38" i="23"/>
  <c r="G67" i="15"/>
  <c r="F6" i="21" s="1"/>
  <c r="F5" i="21"/>
  <c r="G69" i="15"/>
  <c r="F6" i="22" s="1"/>
  <c r="F5" i="22"/>
  <c r="G66" i="15"/>
  <c r="F6" i="20" s="1"/>
  <c r="F5" i="20"/>
  <c r="J77" i="22"/>
  <c r="J66" i="22"/>
  <c r="J67" i="22" s="1"/>
  <c r="K40" i="22"/>
  <c r="J88" i="22"/>
  <c r="K42" i="21"/>
  <c r="J79" i="21"/>
  <c r="J68" i="21"/>
  <c r="J69" i="21" s="1"/>
  <c r="J90" i="21"/>
  <c r="I88" i="20"/>
  <c r="J40" i="20"/>
  <c r="I77" i="20"/>
  <c r="I66" i="20"/>
  <c r="I67" i="20" s="1"/>
  <c r="J37" i="19"/>
  <c r="I65" i="19"/>
  <c r="J44" i="19"/>
  <c r="I76" i="19"/>
  <c r="J75" i="18"/>
  <c r="K44" i="18"/>
  <c r="J64" i="18"/>
  <c r="J38" i="18"/>
  <c r="K64" i="23" l="1"/>
  <c r="K75" i="23"/>
  <c r="L44" i="23"/>
  <c r="K38" i="23"/>
  <c r="K66" i="22"/>
  <c r="K67" i="22" s="1"/>
  <c r="L40" i="22"/>
  <c r="K77" i="22"/>
  <c r="K88" i="22"/>
  <c r="K79" i="21"/>
  <c r="K68" i="21"/>
  <c r="K69" i="21" s="1"/>
  <c r="L42" i="21"/>
  <c r="K90" i="21"/>
  <c r="K40" i="20"/>
  <c r="J77" i="20"/>
  <c r="J66" i="20"/>
  <c r="J67" i="20" s="1"/>
  <c r="J88" i="20"/>
  <c r="J65" i="19"/>
  <c r="J76" i="19"/>
  <c r="K44" i="19"/>
  <c r="K37" i="19"/>
  <c r="K38" i="18"/>
  <c r="K75" i="18"/>
  <c r="L44" i="18"/>
  <c r="K64" i="18"/>
  <c r="L38" i="23" l="1"/>
  <c r="L75" i="23"/>
  <c r="M44" i="23"/>
  <c r="L64" i="23"/>
  <c r="M40" i="22"/>
  <c r="L77" i="22"/>
  <c r="L66" i="22"/>
  <c r="L67" i="22" s="1"/>
  <c r="L88" i="22"/>
  <c r="M42" i="21"/>
  <c r="L90" i="21"/>
  <c r="L79" i="21"/>
  <c r="L68" i="21"/>
  <c r="L69" i="21" s="1"/>
  <c r="K77" i="20"/>
  <c r="L40" i="20"/>
  <c r="K66" i="20"/>
  <c r="K67" i="20" s="1"/>
  <c r="K88" i="20"/>
  <c r="K76" i="19"/>
  <c r="L44" i="19"/>
  <c r="K65" i="19"/>
  <c r="L37" i="19"/>
  <c r="L38" i="18"/>
  <c r="L75" i="18"/>
  <c r="M44" i="18"/>
  <c r="L64" i="18"/>
  <c r="M75" i="23" l="1"/>
  <c r="N44" i="23"/>
  <c r="M64" i="23"/>
  <c r="M38" i="23"/>
  <c r="N40" i="22"/>
  <c r="M77" i="22"/>
  <c r="M66" i="22"/>
  <c r="M67" i="22" s="1"/>
  <c r="M88" i="22"/>
  <c r="N42" i="21"/>
  <c r="M79" i="21"/>
  <c r="M68" i="21"/>
  <c r="M69" i="21" s="1"/>
  <c r="M90" i="21"/>
  <c r="M40" i="20"/>
  <c r="L88" i="20"/>
  <c r="L77" i="20"/>
  <c r="L66" i="20"/>
  <c r="L67" i="20" s="1"/>
  <c r="L76" i="19"/>
  <c r="M44" i="19"/>
  <c r="L65" i="19"/>
  <c r="M37" i="19"/>
  <c r="M38" i="18"/>
  <c r="N44" i="18"/>
  <c r="M64" i="18"/>
  <c r="M75" i="18"/>
  <c r="O44" i="23" l="1"/>
  <c r="N64" i="23"/>
  <c r="N75" i="23"/>
  <c r="N38" i="23"/>
  <c r="O40" i="22"/>
  <c r="N77" i="22"/>
  <c r="N66" i="22"/>
  <c r="N67" i="22" s="1"/>
  <c r="N88" i="22"/>
  <c r="O42" i="21"/>
  <c r="N79" i="21"/>
  <c r="N68" i="21"/>
  <c r="N69" i="21" s="1"/>
  <c r="N90" i="21"/>
  <c r="N40" i="20"/>
  <c r="M77" i="20"/>
  <c r="M66" i="20"/>
  <c r="M67" i="20" s="1"/>
  <c r="M88" i="20"/>
  <c r="N44" i="19"/>
  <c r="M65" i="19"/>
  <c r="M76" i="19"/>
  <c r="N37" i="19"/>
  <c r="N38" i="18"/>
  <c r="N64" i="18"/>
  <c r="O44" i="18"/>
  <c r="N75" i="18"/>
  <c r="O38" i="23" l="1"/>
  <c r="P44" i="23"/>
  <c r="O64" i="23"/>
  <c r="O75" i="23"/>
  <c r="P40" i="22"/>
  <c r="O88" i="22"/>
  <c r="P42" i="21"/>
  <c r="O90" i="21"/>
  <c r="O40" i="20"/>
  <c r="N77" i="20"/>
  <c r="N66" i="20"/>
  <c r="N67" i="20" s="1"/>
  <c r="N88" i="20"/>
  <c r="O44" i="19"/>
  <c r="N65" i="19"/>
  <c r="N76" i="19"/>
  <c r="O37" i="19"/>
  <c r="P44" i="18"/>
  <c r="O38" i="18"/>
  <c r="Q44" i="23" l="1"/>
  <c r="P38" i="23"/>
  <c r="P77" i="22"/>
  <c r="P66" i="22"/>
  <c r="P67" i="22" s="1"/>
  <c r="P88" i="22"/>
  <c r="Q40" i="22"/>
  <c r="P79" i="21"/>
  <c r="P68" i="21"/>
  <c r="P69" i="21" s="1"/>
  <c r="P90" i="21"/>
  <c r="Q42" i="21"/>
  <c r="O88" i="20"/>
  <c r="P40" i="20"/>
  <c r="P44" i="19"/>
  <c r="P37" i="19"/>
  <c r="P38" i="18"/>
  <c r="P64" i="18"/>
  <c r="P75" i="18"/>
  <c r="Q44" i="18"/>
  <c r="Q38" i="23" l="1"/>
  <c r="R44" i="23"/>
  <c r="Q88" i="22"/>
  <c r="R40" i="22"/>
  <c r="Q90" i="21"/>
  <c r="R42" i="21"/>
  <c r="P77" i="20"/>
  <c r="P66" i="20"/>
  <c r="P67" i="20" s="1"/>
  <c r="P88" i="20"/>
  <c r="Q40" i="20"/>
  <c r="Q44" i="19"/>
  <c r="P65" i="19"/>
  <c r="P76" i="19"/>
  <c r="Q37" i="19"/>
  <c r="Q38" i="18"/>
  <c r="R44" i="18"/>
  <c r="R76" i="23" l="1"/>
  <c r="R64" i="23"/>
  <c r="R66" i="23"/>
  <c r="R91" i="23"/>
  <c r="R75" i="23"/>
  <c r="R90" i="23"/>
  <c r="R38" i="23"/>
  <c r="R78" i="22"/>
  <c r="R77" i="22"/>
  <c r="R66" i="22"/>
  <c r="R67" i="22" s="1"/>
  <c r="R88" i="22"/>
  <c r="R80" i="22"/>
  <c r="R80" i="21"/>
  <c r="R79" i="21"/>
  <c r="R68" i="21"/>
  <c r="R69" i="21" s="1"/>
  <c r="R90" i="21"/>
  <c r="R82" i="21"/>
  <c r="Q88" i="20"/>
  <c r="R40" i="20"/>
  <c r="R44" i="19"/>
  <c r="R37" i="19"/>
  <c r="R75" i="18"/>
  <c r="R91" i="18"/>
  <c r="R66" i="18"/>
  <c r="R76" i="18"/>
  <c r="R64" i="18"/>
  <c r="R90" i="18"/>
  <c r="R38" i="18"/>
  <c r="R78" i="23" l="1"/>
  <c r="R78" i="20"/>
  <c r="R77" i="20"/>
  <c r="R66" i="20"/>
  <c r="R67" i="20" s="1"/>
  <c r="R88" i="20"/>
  <c r="R80" i="20"/>
  <c r="R65" i="19"/>
  <c r="R76" i="19"/>
  <c r="R77" i="19"/>
  <c r="R92" i="19"/>
  <c r="R67" i="19"/>
  <c r="R91" i="19"/>
  <c r="R78" i="18"/>
  <c r="R79" i="19" l="1"/>
  <c r="M27" i="2" l="1"/>
  <c r="N25" i="4"/>
  <c r="N25" i="5"/>
  <c r="N25" i="17"/>
  <c r="F5" i="2"/>
  <c r="R92" i="17"/>
  <c r="Q92" i="17"/>
  <c r="P92" i="17"/>
  <c r="O92" i="17"/>
  <c r="N92" i="17"/>
  <c r="M92" i="17"/>
  <c r="L92" i="17"/>
  <c r="K92" i="17"/>
  <c r="J92" i="17"/>
  <c r="I92" i="17"/>
  <c r="H92" i="17"/>
  <c r="C55" i="17"/>
  <c r="C54" i="17"/>
  <c r="C53" i="17"/>
  <c r="C52" i="17"/>
  <c r="C51" i="17"/>
  <c r="R41" i="17"/>
  <c r="Q41" i="17"/>
  <c r="P41" i="17"/>
  <c r="O41" i="17"/>
  <c r="N41" i="17"/>
  <c r="M41" i="17"/>
  <c r="L41" i="17"/>
  <c r="K41" i="17"/>
  <c r="J41" i="17"/>
  <c r="I41" i="17"/>
  <c r="H41" i="17"/>
  <c r="I40" i="17"/>
  <c r="I88" i="17" s="1"/>
  <c r="H40" i="17"/>
  <c r="H77" i="17" s="1"/>
  <c r="F8" i="17"/>
  <c r="F8" i="5"/>
  <c r="F8" i="4"/>
  <c r="Q44" i="12"/>
  <c r="F8" i="2"/>
  <c r="C41" i="15"/>
  <c r="E37" i="15"/>
  <c r="D40" i="15" s="1"/>
  <c r="I32" i="15"/>
  <c r="H32" i="15"/>
  <c r="P20" i="15" s="1"/>
  <c r="G32" i="15"/>
  <c r="P19" i="15" s="1"/>
  <c r="F32" i="15"/>
  <c r="P18" i="15" s="1"/>
  <c r="E32" i="15"/>
  <c r="D32" i="15"/>
  <c r="P15" i="15" s="1"/>
  <c r="I31" i="15"/>
  <c r="R7" i="15" s="1"/>
  <c r="T7" i="15" s="1"/>
  <c r="H31" i="15"/>
  <c r="G31" i="15"/>
  <c r="P10" i="15" s="1"/>
  <c r="F31" i="15"/>
  <c r="P9" i="15" s="1"/>
  <c r="E31" i="15"/>
  <c r="P8" i="15" s="1"/>
  <c r="D31" i="15"/>
  <c r="I27" i="15"/>
  <c r="H27" i="15"/>
  <c r="G27" i="15"/>
  <c r="F27" i="15"/>
  <c r="E27" i="15"/>
  <c r="D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7" i="15"/>
  <c r="K6" i="15"/>
  <c r="K56" i="25" l="1"/>
  <c r="L56" i="25"/>
  <c r="M56" i="25"/>
  <c r="N56" i="25"/>
  <c r="G17" i="21"/>
  <c r="K55" i="25"/>
  <c r="M55" i="25"/>
  <c r="N55" i="25"/>
  <c r="L55" i="25"/>
  <c r="G17" i="22"/>
  <c r="K54" i="25"/>
  <c r="M54" i="25"/>
  <c r="N54" i="25"/>
  <c r="L54" i="25"/>
  <c r="G17" i="20"/>
  <c r="M56" i="24"/>
  <c r="N56" i="24"/>
  <c r="L56" i="24"/>
  <c r="K56" i="24"/>
  <c r="M55" i="24"/>
  <c r="N55" i="24"/>
  <c r="L55" i="24"/>
  <c r="K55" i="24"/>
  <c r="M53" i="24"/>
  <c r="N53" i="24"/>
  <c r="L53" i="24"/>
  <c r="K53" i="24"/>
  <c r="K57" i="25"/>
  <c r="N57" i="25"/>
  <c r="M57" i="25"/>
  <c r="L57" i="25"/>
  <c r="J56" i="24"/>
  <c r="I56" i="24"/>
  <c r="J55" i="24"/>
  <c r="I55" i="24"/>
  <c r="I53" i="24"/>
  <c r="J53" i="24"/>
  <c r="I53" i="13"/>
  <c r="J53" i="13"/>
  <c r="G18" i="23"/>
  <c r="R20" i="15"/>
  <c r="T20" i="15" s="1"/>
  <c r="G8" i="11" s="1"/>
  <c r="P7" i="15"/>
  <c r="D41" i="15"/>
  <c r="R15" i="15" s="1"/>
  <c r="T15" i="15" s="1"/>
  <c r="G8" i="20" s="1"/>
  <c r="K55" i="13"/>
  <c r="L55" i="13"/>
  <c r="M55" i="13"/>
  <c r="N55" i="13"/>
  <c r="I55" i="13"/>
  <c r="J55" i="13"/>
  <c r="K57" i="13"/>
  <c r="L57" i="13"/>
  <c r="M57" i="13"/>
  <c r="N57" i="13"/>
  <c r="G17" i="11"/>
  <c r="G5" i="11" s="1"/>
  <c r="K56" i="13"/>
  <c r="L56" i="13"/>
  <c r="M56" i="13"/>
  <c r="N56" i="13"/>
  <c r="I56" i="13"/>
  <c r="J56" i="13"/>
  <c r="G23" i="21"/>
  <c r="G23" i="5"/>
  <c r="G17" i="5"/>
  <c r="G25" i="2"/>
  <c r="G8" i="2" s="1"/>
  <c r="P16" i="15"/>
  <c r="P17" i="15"/>
  <c r="F6" i="4"/>
  <c r="F6" i="2"/>
  <c r="K27" i="15"/>
  <c r="J40" i="17"/>
  <c r="I77" i="17"/>
  <c r="I66" i="17"/>
  <c r="I67" i="17" s="1"/>
  <c r="H88" i="17"/>
  <c r="H66" i="17"/>
  <c r="H67" i="17" s="1"/>
  <c r="R9" i="15"/>
  <c r="T9" i="15" s="1"/>
  <c r="R16" i="15"/>
  <c r="T16" i="15" s="1"/>
  <c r="G25" i="19" s="1"/>
  <c r="R10" i="15"/>
  <c r="T10" i="15" s="1"/>
  <c r="R19" i="15"/>
  <c r="T19" i="15" s="1"/>
  <c r="G8" i="22" s="1"/>
  <c r="R18" i="15"/>
  <c r="T18" i="15" s="1"/>
  <c r="G8" i="21" s="1"/>
  <c r="C42" i="15"/>
  <c r="K31" i="15"/>
  <c r="K32" i="15"/>
  <c r="D42" i="15"/>
  <c r="R6" i="15"/>
  <c r="P6" i="15"/>
  <c r="K53" i="25" l="1"/>
  <c r="L53" i="25"/>
  <c r="M53" i="25"/>
  <c r="N53" i="25"/>
  <c r="K53" i="13"/>
  <c r="K52" i="25"/>
  <c r="L52" i="25"/>
  <c r="M52" i="25"/>
  <c r="N52" i="25"/>
  <c r="G18" i="19"/>
  <c r="G6" i="19" s="1"/>
  <c r="M54" i="24"/>
  <c r="L54" i="24"/>
  <c r="K54" i="24"/>
  <c r="N54" i="24"/>
  <c r="M52" i="24"/>
  <c r="L52" i="24"/>
  <c r="K52" i="24"/>
  <c r="N52" i="24"/>
  <c r="J54" i="24"/>
  <c r="I54" i="24"/>
  <c r="J52" i="24"/>
  <c r="I52" i="24"/>
  <c r="L53" i="13"/>
  <c r="N53" i="13"/>
  <c r="M53" i="13"/>
  <c r="S15" i="15"/>
  <c r="S20" i="15"/>
  <c r="S8" i="15"/>
  <c r="T8" i="15"/>
  <c r="S7" i="15"/>
  <c r="J52" i="13"/>
  <c r="I52" i="13"/>
  <c r="G18" i="2"/>
  <c r="G5" i="2" s="1"/>
  <c r="G5" i="23"/>
  <c r="G20" i="23"/>
  <c r="G17" i="23" s="1"/>
  <c r="G6" i="23"/>
  <c r="K54" i="13"/>
  <c r="L54" i="13"/>
  <c r="M54" i="13"/>
  <c r="N54" i="13"/>
  <c r="G6" i="11"/>
  <c r="N52" i="13"/>
  <c r="M52" i="13"/>
  <c r="L52" i="13"/>
  <c r="K52" i="13"/>
  <c r="I54" i="13"/>
  <c r="J54" i="13"/>
  <c r="K90" i="22"/>
  <c r="G5" i="22"/>
  <c r="N90" i="22"/>
  <c r="M17" i="22"/>
  <c r="R90" i="22"/>
  <c r="J90" i="22"/>
  <c r="M24" i="22"/>
  <c r="G62" i="22"/>
  <c r="G9" i="22" s="1"/>
  <c r="Q90" i="22"/>
  <c r="I90" i="22"/>
  <c r="P90" i="22"/>
  <c r="H90" i="22"/>
  <c r="M23" i="22"/>
  <c r="M22" i="22"/>
  <c r="O90" i="22"/>
  <c r="M90" i="22"/>
  <c r="L90" i="22"/>
  <c r="G6" i="22"/>
  <c r="K92" i="21"/>
  <c r="G64" i="21"/>
  <c r="G9" i="21" s="1"/>
  <c r="R92" i="21"/>
  <c r="J92" i="21"/>
  <c r="M24" i="21"/>
  <c r="G19" i="21"/>
  <c r="Q92" i="21"/>
  <c r="I92" i="21"/>
  <c r="G6" i="21"/>
  <c r="P92" i="21"/>
  <c r="H92" i="21"/>
  <c r="M23" i="21"/>
  <c r="N92" i="21"/>
  <c r="O92" i="21"/>
  <c r="M92" i="21"/>
  <c r="M22" i="21"/>
  <c r="M17" i="21"/>
  <c r="L92" i="21"/>
  <c r="G5" i="21"/>
  <c r="K90" i="20"/>
  <c r="G5" i="20"/>
  <c r="R90" i="20"/>
  <c r="J90" i="20"/>
  <c r="M24" i="20"/>
  <c r="Q90" i="20"/>
  <c r="I90" i="20"/>
  <c r="G62" i="20"/>
  <c r="G9" i="20" s="1"/>
  <c r="P90" i="20"/>
  <c r="H90" i="20"/>
  <c r="M23" i="20"/>
  <c r="M17" i="20"/>
  <c r="O90" i="20"/>
  <c r="N90" i="20"/>
  <c r="M22" i="20"/>
  <c r="M90" i="20"/>
  <c r="L90" i="20"/>
  <c r="G6" i="20"/>
  <c r="S17" i="15"/>
  <c r="G18" i="18"/>
  <c r="Q54" i="19"/>
  <c r="I54" i="19"/>
  <c r="J54" i="19"/>
  <c r="P54" i="19"/>
  <c r="H54" i="19"/>
  <c r="O54" i="19"/>
  <c r="R54" i="19"/>
  <c r="N54" i="19"/>
  <c r="M54" i="19"/>
  <c r="L54" i="19"/>
  <c r="K54" i="19"/>
  <c r="G8" i="19"/>
  <c r="P21" i="15"/>
  <c r="Q20" i="15" s="1"/>
  <c r="F6" i="5"/>
  <c r="G6" i="5" s="1"/>
  <c r="F5" i="5"/>
  <c r="G5" i="5" s="1"/>
  <c r="F5" i="17"/>
  <c r="F6" i="17"/>
  <c r="F5" i="4"/>
  <c r="G8" i="17"/>
  <c r="G8" i="5"/>
  <c r="G17" i="4"/>
  <c r="G17" i="17"/>
  <c r="J88" i="17"/>
  <c r="K40" i="17"/>
  <c r="J77" i="17"/>
  <c r="J66" i="17"/>
  <c r="J67" i="17" s="1"/>
  <c r="S16" i="15"/>
  <c r="S9" i="15"/>
  <c r="S19" i="15"/>
  <c r="S10" i="15"/>
  <c r="S18" i="15"/>
  <c r="K33" i="15"/>
  <c r="C32" i="15" s="1"/>
  <c r="C52" i="15" s="1"/>
  <c r="D52" i="15" s="1"/>
  <c r="F52" i="15" s="1"/>
  <c r="F78" i="25" s="1"/>
  <c r="G83" i="25" s="1"/>
  <c r="U20" i="26" s="1"/>
  <c r="R21" i="15"/>
  <c r="T21" i="15"/>
  <c r="T6" i="15"/>
  <c r="R11" i="15"/>
  <c r="S6" i="15"/>
  <c r="P11" i="15"/>
  <c r="Q8" i="15" s="1"/>
  <c r="G5" i="19" l="1"/>
  <c r="G20" i="19"/>
  <c r="G17" i="19" s="1"/>
  <c r="N46" i="25" s="1"/>
  <c r="K58" i="25"/>
  <c r="K59" i="25" s="1"/>
  <c r="L58" i="25"/>
  <c r="L59" i="25" s="1"/>
  <c r="M58" i="25"/>
  <c r="M59" i="25" s="1"/>
  <c r="N58" i="25"/>
  <c r="N59" i="25" s="1"/>
  <c r="K50" i="25"/>
  <c r="L50" i="25"/>
  <c r="M50" i="25"/>
  <c r="N50" i="25"/>
  <c r="K48" i="25"/>
  <c r="L48" i="25"/>
  <c r="M48" i="25"/>
  <c r="N48" i="25"/>
  <c r="M47" i="24"/>
  <c r="K47" i="24"/>
  <c r="N47" i="24"/>
  <c r="L47" i="24"/>
  <c r="N58" i="24"/>
  <c r="N59" i="24" s="1"/>
  <c r="M58" i="24"/>
  <c r="M59" i="24" s="1"/>
  <c r="L58" i="24"/>
  <c r="L59" i="24" s="1"/>
  <c r="K58" i="24"/>
  <c r="K59" i="24" s="1"/>
  <c r="E23" i="24"/>
  <c r="H23" i="25"/>
  <c r="G23" i="25"/>
  <c r="F23" i="24"/>
  <c r="J47" i="24"/>
  <c r="I47" i="24"/>
  <c r="J58" i="24"/>
  <c r="J59" i="24" s="1"/>
  <c r="I58" i="24"/>
  <c r="I59" i="24" s="1"/>
  <c r="G23" i="13"/>
  <c r="H23" i="13"/>
  <c r="I47" i="13"/>
  <c r="J47" i="13"/>
  <c r="G6" i="2"/>
  <c r="M51" i="23"/>
  <c r="P50" i="23"/>
  <c r="Q51" i="23"/>
  <c r="J50" i="23"/>
  <c r="I50" i="23"/>
  <c r="L51" i="23"/>
  <c r="O50" i="23"/>
  <c r="L50" i="23"/>
  <c r="R50" i="23"/>
  <c r="M23" i="23"/>
  <c r="K51" i="23"/>
  <c r="N50" i="23"/>
  <c r="I51" i="23"/>
  <c r="R51" i="23"/>
  <c r="J51" i="23"/>
  <c r="M50" i="23"/>
  <c r="G24" i="23"/>
  <c r="Q50" i="23"/>
  <c r="N51" i="23"/>
  <c r="P51" i="23"/>
  <c r="K50" i="23"/>
  <c r="O51" i="23"/>
  <c r="G5" i="4"/>
  <c r="K58" i="13"/>
  <c r="K59" i="13" s="1"/>
  <c r="L58" i="13"/>
  <c r="L59" i="13" s="1"/>
  <c r="M58" i="13"/>
  <c r="M59" i="13" s="1"/>
  <c r="N58" i="13"/>
  <c r="N59" i="13" s="1"/>
  <c r="J58" i="13"/>
  <c r="J59" i="13" s="1"/>
  <c r="I58" i="13"/>
  <c r="I59" i="13" s="1"/>
  <c r="G5" i="18"/>
  <c r="O53" i="22"/>
  <c r="N53" i="22"/>
  <c r="M53" i="22"/>
  <c r="L53" i="22"/>
  <c r="R53" i="22"/>
  <c r="K53" i="22"/>
  <c r="Q53" i="22"/>
  <c r="I53" i="22"/>
  <c r="J53" i="22"/>
  <c r="P53" i="22"/>
  <c r="H53" i="22"/>
  <c r="O51" i="22"/>
  <c r="J51" i="22"/>
  <c r="N51" i="22"/>
  <c r="M51" i="22"/>
  <c r="L51" i="22"/>
  <c r="R51" i="22"/>
  <c r="K51" i="22"/>
  <c r="Q51" i="22"/>
  <c r="I51" i="22"/>
  <c r="P51" i="22"/>
  <c r="H51" i="22"/>
  <c r="K52" i="22"/>
  <c r="R52" i="22"/>
  <c r="J52" i="22"/>
  <c r="Q52" i="22"/>
  <c r="I52" i="22"/>
  <c r="P52" i="22"/>
  <c r="H52" i="22"/>
  <c r="O52" i="22"/>
  <c r="N52" i="22"/>
  <c r="M52" i="22"/>
  <c r="L52" i="22"/>
  <c r="Q45" i="22"/>
  <c r="I45" i="22"/>
  <c r="P45" i="22"/>
  <c r="H45" i="22"/>
  <c r="O45" i="22"/>
  <c r="M18" i="22"/>
  <c r="M19" i="22" s="1"/>
  <c r="N45" i="22"/>
  <c r="L45" i="22"/>
  <c r="M45" i="22"/>
  <c r="N17" i="22"/>
  <c r="M26" i="22"/>
  <c r="K45" i="22"/>
  <c r="R45" i="22"/>
  <c r="J45" i="22"/>
  <c r="O53" i="21"/>
  <c r="N53" i="21"/>
  <c r="M53" i="21"/>
  <c r="J53" i="21"/>
  <c r="L53" i="21"/>
  <c r="R53" i="21"/>
  <c r="K53" i="21"/>
  <c r="Q53" i="21"/>
  <c r="I53" i="21"/>
  <c r="P53" i="21"/>
  <c r="H53" i="21"/>
  <c r="O55" i="21"/>
  <c r="N55" i="21"/>
  <c r="M55" i="21"/>
  <c r="R55" i="21"/>
  <c r="L55" i="21"/>
  <c r="J55" i="21"/>
  <c r="K55" i="21"/>
  <c r="Q55" i="21"/>
  <c r="I55" i="21"/>
  <c r="P55" i="21"/>
  <c r="H55" i="21"/>
  <c r="K54" i="21"/>
  <c r="R54" i="21"/>
  <c r="J54" i="21"/>
  <c r="Q54" i="21"/>
  <c r="I54" i="21"/>
  <c r="P54" i="21"/>
  <c r="H54" i="21"/>
  <c r="O54" i="21"/>
  <c r="N54" i="21"/>
  <c r="M54" i="21"/>
  <c r="L54" i="21"/>
  <c r="Q47" i="21"/>
  <c r="I47" i="21"/>
  <c r="N17" i="21"/>
  <c r="P47" i="21"/>
  <c r="H47" i="21"/>
  <c r="J47" i="21"/>
  <c r="O47" i="21"/>
  <c r="N47" i="21"/>
  <c r="M18" i="21"/>
  <c r="M19" i="21" s="1"/>
  <c r="M26" i="21"/>
  <c r="M47" i="21"/>
  <c r="L47" i="21"/>
  <c r="K47" i="21"/>
  <c r="R47" i="21"/>
  <c r="N51" i="20"/>
  <c r="M51" i="20"/>
  <c r="R51" i="20"/>
  <c r="O51" i="20"/>
  <c r="L51" i="20"/>
  <c r="J51" i="20"/>
  <c r="K51" i="20"/>
  <c r="H51" i="20"/>
  <c r="Q51" i="20"/>
  <c r="I51" i="20"/>
  <c r="P51" i="20"/>
  <c r="N53" i="20"/>
  <c r="H53" i="20"/>
  <c r="M53" i="20"/>
  <c r="L53" i="20"/>
  <c r="R53" i="20"/>
  <c r="K53" i="20"/>
  <c r="J53" i="20"/>
  <c r="P53" i="20"/>
  <c r="Q53" i="20"/>
  <c r="I53" i="20"/>
  <c r="O53" i="20"/>
  <c r="P45" i="20"/>
  <c r="H45" i="20"/>
  <c r="O45" i="20"/>
  <c r="M18" i="20"/>
  <c r="M19" i="20" s="1"/>
  <c r="M26" i="20"/>
  <c r="N45" i="20"/>
  <c r="M45" i="20"/>
  <c r="N17" i="20"/>
  <c r="J45" i="20"/>
  <c r="Q45" i="20"/>
  <c r="L45" i="20"/>
  <c r="K45" i="20"/>
  <c r="R45" i="20"/>
  <c r="I45" i="20"/>
  <c r="R52" i="20"/>
  <c r="J52" i="20"/>
  <c r="Q52" i="20"/>
  <c r="I52" i="20"/>
  <c r="P52" i="20"/>
  <c r="H52" i="20"/>
  <c r="O52" i="20"/>
  <c r="K52" i="20"/>
  <c r="N52" i="20"/>
  <c r="M52" i="20"/>
  <c r="L52" i="20"/>
  <c r="G20" i="18"/>
  <c r="G17" i="18" s="1"/>
  <c r="G6" i="18"/>
  <c r="S21" i="15"/>
  <c r="Q19" i="15"/>
  <c r="V19" i="15" s="1"/>
  <c r="G7" i="22" s="1"/>
  <c r="Q18" i="15"/>
  <c r="V18" i="15" s="1"/>
  <c r="G7" i="21" s="1"/>
  <c r="Q16" i="15"/>
  <c r="V16" i="15" s="1"/>
  <c r="G7" i="19" s="1"/>
  <c r="Q15" i="15"/>
  <c r="V15" i="15" s="1"/>
  <c r="G7" i="20" s="1"/>
  <c r="Q17" i="15"/>
  <c r="V17" i="15" s="1"/>
  <c r="V20" i="15"/>
  <c r="G7" i="11" s="1"/>
  <c r="Q10" i="15"/>
  <c r="Q9" i="15"/>
  <c r="Q7" i="15"/>
  <c r="Q6" i="15"/>
  <c r="T11" i="15"/>
  <c r="G8" i="4"/>
  <c r="F23" i="13" s="1"/>
  <c r="G6" i="4"/>
  <c r="L40" i="17"/>
  <c r="K77" i="17"/>
  <c r="K66" i="17"/>
  <c r="K67" i="17" s="1"/>
  <c r="K88" i="17"/>
  <c r="K90" i="17"/>
  <c r="M24" i="17"/>
  <c r="R90" i="17"/>
  <c r="J90" i="17"/>
  <c r="L90" i="17"/>
  <c r="Q90" i="17"/>
  <c r="I90" i="17"/>
  <c r="M23" i="17"/>
  <c r="P90" i="17"/>
  <c r="H90" i="17"/>
  <c r="O90" i="17"/>
  <c r="M22" i="17"/>
  <c r="M17" i="17"/>
  <c r="G6" i="17"/>
  <c r="N90" i="17"/>
  <c r="G62" i="17"/>
  <c r="G9" i="17" s="1"/>
  <c r="M90" i="17"/>
  <c r="G5" i="17"/>
  <c r="C31" i="15"/>
  <c r="C51" i="15" s="1"/>
  <c r="S11" i="15"/>
  <c r="N50" i="19" l="1"/>
  <c r="R52" i="19"/>
  <c r="Q52" i="19"/>
  <c r="O51" i="19"/>
  <c r="Q51" i="19"/>
  <c r="K52" i="19"/>
  <c r="J51" i="19"/>
  <c r="N24" i="19"/>
  <c r="M52" i="19"/>
  <c r="P52" i="19"/>
  <c r="M51" i="19"/>
  <c r="J50" i="19"/>
  <c r="M46" i="25"/>
  <c r="M50" i="19"/>
  <c r="P51" i="19"/>
  <c r="J52" i="19"/>
  <c r="R50" i="19"/>
  <c r="K46" i="25"/>
  <c r="R51" i="19"/>
  <c r="O50" i="19"/>
  <c r="I50" i="19"/>
  <c r="L52" i="19"/>
  <c r="L50" i="19"/>
  <c r="O52" i="19"/>
  <c r="L51" i="19"/>
  <c r="Q50" i="19"/>
  <c r="I51" i="19"/>
  <c r="M24" i="19"/>
  <c r="H40" i="19" s="1"/>
  <c r="I52" i="19"/>
  <c r="N51" i="19"/>
  <c r="L46" i="25"/>
  <c r="N52" i="19"/>
  <c r="K51" i="19"/>
  <c r="P50" i="19"/>
  <c r="K50" i="19"/>
  <c r="L47" i="25"/>
  <c r="M47" i="25"/>
  <c r="N47" i="25"/>
  <c r="K47" i="25"/>
  <c r="K50" i="24"/>
  <c r="M50" i="24"/>
  <c r="N50" i="24"/>
  <c r="L50" i="24"/>
  <c r="F69" i="24"/>
  <c r="F69" i="25"/>
  <c r="G22" i="25"/>
  <c r="H22" i="25"/>
  <c r="J50" i="24"/>
  <c r="I50" i="24"/>
  <c r="C53" i="15"/>
  <c r="D51" i="15"/>
  <c r="F51" i="15" s="1"/>
  <c r="F78" i="24" s="1"/>
  <c r="G83" i="24" s="1"/>
  <c r="E23" i="13"/>
  <c r="F69" i="13" s="1"/>
  <c r="K47" i="13"/>
  <c r="M47" i="13"/>
  <c r="N47" i="13"/>
  <c r="L47" i="13"/>
  <c r="O56" i="23"/>
  <c r="K56" i="23"/>
  <c r="I56" i="23"/>
  <c r="N56" i="23"/>
  <c r="J56" i="23"/>
  <c r="G7" i="18"/>
  <c r="G25" i="13" s="1"/>
  <c r="Q56" i="23"/>
  <c r="G40" i="23"/>
  <c r="G41" i="23"/>
  <c r="H41" i="23"/>
  <c r="H40" i="23"/>
  <c r="I41" i="23"/>
  <c r="I40" i="23"/>
  <c r="J40" i="23"/>
  <c r="J41" i="23"/>
  <c r="K41" i="23"/>
  <c r="K40" i="23"/>
  <c r="L41" i="23"/>
  <c r="L40" i="23"/>
  <c r="M41" i="23"/>
  <c r="M40" i="23"/>
  <c r="N41" i="23"/>
  <c r="N40" i="23"/>
  <c r="O40" i="23"/>
  <c r="O41" i="23"/>
  <c r="P40" i="23"/>
  <c r="P41" i="23"/>
  <c r="Q41" i="23"/>
  <c r="Q40" i="23"/>
  <c r="R41" i="23"/>
  <c r="R40" i="23"/>
  <c r="P56" i="23"/>
  <c r="R53" i="23"/>
  <c r="R54" i="23" s="1"/>
  <c r="J53" i="23"/>
  <c r="J54" i="23" s="1"/>
  <c r="Q53" i="23"/>
  <c r="Q54" i="23" s="1"/>
  <c r="I53" i="23"/>
  <c r="I54" i="23" s="1"/>
  <c r="N53" i="23"/>
  <c r="N54" i="23" s="1"/>
  <c r="K53" i="23"/>
  <c r="K54" i="23" s="1"/>
  <c r="P53" i="23"/>
  <c r="P54" i="23" s="1"/>
  <c r="H53" i="23"/>
  <c r="L53" i="23"/>
  <c r="L54" i="23" s="1"/>
  <c r="O53" i="23"/>
  <c r="O54" i="23" s="1"/>
  <c r="M53" i="23"/>
  <c r="M54" i="23" s="1"/>
  <c r="R56" i="23"/>
  <c r="M56" i="23"/>
  <c r="L56" i="23"/>
  <c r="K50" i="13"/>
  <c r="L50" i="13"/>
  <c r="M50" i="13"/>
  <c r="N50" i="13"/>
  <c r="I50" i="13"/>
  <c r="J50" i="13"/>
  <c r="T23" i="15"/>
  <c r="M23" i="18"/>
  <c r="G40" i="18" s="1"/>
  <c r="P89" i="22"/>
  <c r="P91" i="22" s="1"/>
  <c r="P93" i="22" s="1"/>
  <c r="P55" i="22"/>
  <c r="P46" i="22"/>
  <c r="P48" i="22" s="1"/>
  <c r="H89" i="22"/>
  <c r="H91" i="22" s="1"/>
  <c r="H93" i="22" s="1"/>
  <c r="H55" i="22"/>
  <c r="H46" i="22"/>
  <c r="H48" i="22" s="1"/>
  <c r="M89" i="22"/>
  <c r="M91" i="22" s="1"/>
  <c r="M93" i="22" s="1"/>
  <c r="M55" i="22"/>
  <c r="M46" i="22"/>
  <c r="M48" i="22" s="1"/>
  <c r="I89" i="22"/>
  <c r="I91" i="22" s="1"/>
  <c r="I93" i="22" s="1"/>
  <c r="I46" i="22"/>
  <c r="I48" i="22" s="1"/>
  <c r="I55" i="22"/>
  <c r="O55" i="22"/>
  <c r="O89" i="22"/>
  <c r="O91" i="22" s="1"/>
  <c r="O93" i="22" s="1"/>
  <c r="O46" i="22"/>
  <c r="O48" i="22" s="1"/>
  <c r="L89" i="22"/>
  <c r="L91" i="22" s="1"/>
  <c r="L93" i="22" s="1"/>
  <c r="L55" i="22"/>
  <c r="L46" i="22"/>
  <c r="L48" i="22" s="1"/>
  <c r="Q46" i="22"/>
  <c r="Q48" i="22" s="1"/>
  <c r="Q89" i="22"/>
  <c r="Q91" i="22" s="1"/>
  <c r="Q93" i="22" s="1"/>
  <c r="Q55" i="22"/>
  <c r="R55" i="22"/>
  <c r="R89" i="22"/>
  <c r="R91" i="22" s="1"/>
  <c r="R93" i="22" s="1"/>
  <c r="R46" i="22"/>
  <c r="R48" i="22" s="1"/>
  <c r="N89" i="22"/>
  <c r="N91" i="22" s="1"/>
  <c r="N93" i="22" s="1"/>
  <c r="N55" i="22"/>
  <c r="N46" i="22"/>
  <c r="N48" i="22" s="1"/>
  <c r="K89" i="22"/>
  <c r="K91" i="22" s="1"/>
  <c r="K93" i="22" s="1"/>
  <c r="K55" i="22"/>
  <c r="K46" i="22"/>
  <c r="K48" i="22" s="1"/>
  <c r="J89" i="22"/>
  <c r="J91" i="22" s="1"/>
  <c r="J93" i="22" s="1"/>
  <c r="J46" i="22"/>
  <c r="J48" i="22" s="1"/>
  <c r="J55" i="22"/>
  <c r="K91" i="21"/>
  <c r="K93" i="21" s="1"/>
  <c r="K95" i="21" s="1"/>
  <c r="K57" i="21"/>
  <c r="K48" i="21"/>
  <c r="K50" i="21" s="1"/>
  <c r="H91" i="21"/>
  <c r="H93" i="21" s="1"/>
  <c r="H95" i="21" s="1"/>
  <c r="H57" i="21"/>
  <c r="H48" i="21"/>
  <c r="H50" i="21" s="1"/>
  <c r="L91" i="21"/>
  <c r="L93" i="21" s="1"/>
  <c r="L95" i="21" s="1"/>
  <c r="L57" i="21"/>
  <c r="L48" i="21"/>
  <c r="L50" i="21" s="1"/>
  <c r="P91" i="21"/>
  <c r="P93" i="21" s="1"/>
  <c r="P95" i="21" s="1"/>
  <c r="P57" i="21"/>
  <c r="P48" i="21"/>
  <c r="P50" i="21" s="1"/>
  <c r="I91" i="21"/>
  <c r="I93" i="21" s="1"/>
  <c r="I95" i="21" s="1"/>
  <c r="I48" i="21"/>
  <c r="I50" i="21" s="1"/>
  <c r="I57" i="21"/>
  <c r="N91" i="21"/>
  <c r="N93" i="21" s="1"/>
  <c r="N95" i="21" s="1"/>
  <c r="N57" i="21"/>
  <c r="N48" i="21"/>
  <c r="N50" i="21" s="1"/>
  <c r="Q48" i="21"/>
  <c r="Q50" i="21" s="1"/>
  <c r="Q91" i="21"/>
  <c r="Q93" i="21" s="1"/>
  <c r="Q95" i="21" s="1"/>
  <c r="Q57" i="21"/>
  <c r="M91" i="21"/>
  <c r="M93" i="21" s="1"/>
  <c r="M95" i="21" s="1"/>
  <c r="M57" i="21"/>
  <c r="M48" i="21"/>
  <c r="M50" i="21" s="1"/>
  <c r="O57" i="21"/>
  <c r="O48" i="21"/>
  <c r="O50" i="21" s="1"/>
  <c r="O91" i="21"/>
  <c r="O93" i="21" s="1"/>
  <c r="O95" i="21" s="1"/>
  <c r="R57" i="21"/>
  <c r="R91" i="21"/>
  <c r="R93" i="21" s="1"/>
  <c r="R95" i="21" s="1"/>
  <c r="R48" i="21"/>
  <c r="R50" i="21" s="1"/>
  <c r="J91" i="21"/>
  <c r="J93" i="21" s="1"/>
  <c r="J95" i="21" s="1"/>
  <c r="J48" i="21"/>
  <c r="J50" i="21" s="1"/>
  <c r="J57" i="21"/>
  <c r="J55" i="20"/>
  <c r="J89" i="20"/>
  <c r="J91" i="20" s="1"/>
  <c r="J93" i="20" s="1"/>
  <c r="J46" i="20"/>
  <c r="J48" i="20" s="1"/>
  <c r="I89" i="20"/>
  <c r="I91" i="20" s="1"/>
  <c r="I93" i="20" s="1"/>
  <c r="I46" i="20"/>
  <c r="I48" i="20" s="1"/>
  <c r="I55" i="20"/>
  <c r="M89" i="20"/>
  <c r="M91" i="20" s="1"/>
  <c r="M93" i="20" s="1"/>
  <c r="M55" i="20"/>
  <c r="M46" i="20"/>
  <c r="M48" i="20" s="1"/>
  <c r="R89" i="20"/>
  <c r="R91" i="20" s="1"/>
  <c r="R93" i="20" s="1"/>
  <c r="R46" i="20"/>
  <c r="R48" i="20" s="1"/>
  <c r="R55" i="20"/>
  <c r="N89" i="20"/>
  <c r="N91" i="20" s="1"/>
  <c r="N93" i="20" s="1"/>
  <c r="N55" i="20"/>
  <c r="N46" i="20"/>
  <c r="N48" i="20" s="1"/>
  <c r="K89" i="20"/>
  <c r="K91" i="20" s="1"/>
  <c r="K93" i="20" s="1"/>
  <c r="K46" i="20"/>
  <c r="K48" i="20" s="1"/>
  <c r="K55" i="20"/>
  <c r="L89" i="20"/>
  <c r="L91" i="20" s="1"/>
  <c r="L93" i="20" s="1"/>
  <c r="L55" i="20"/>
  <c r="L46" i="20"/>
  <c r="L48" i="20" s="1"/>
  <c r="O55" i="20"/>
  <c r="O46" i="20"/>
  <c r="O48" i="20" s="1"/>
  <c r="O89" i="20"/>
  <c r="O91" i="20" s="1"/>
  <c r="O93" i="20" s="1"/>
  <c r="P55" i="20"/>
  <c r="P89" i="20"/>
  <c r="P91" i="20" s="1"/>
  <c r="P93" i="20" s="1"/>
  <c r="P46" i="20"/>
  <c r="P48" i="20" s="1"/>
  <c r="Q46" i="20"/>
  <c r="Q48" i="20" s="1"/>
  <c r="Q89" i="20"/>
  <c r="Q91" i="20" s="1"/>
  <c r="Q93" i="20" s="1"/>
  <c r="Q55" i="20"/>
  <c r="H89" i="20"/>
  <c r="H91" i="20" s="1"/>
  <c r="H93" i="20" s="1"/>
  <c r="H55" i="20"/>
  <c r="H46" i="20"/>
  <c r="H48" i="20" s="1"/>
  <c r="I51" i="18"/>
  <c r="G24" i="18"/>
  <c r="J50" i="18"/>
  <c r="I50" i="18"/>
  <c r="J51" i="18"/>
  <c r="K51" i="18"/>
  <c r="K50" i="18"/>
  <c r="L50" i="18"/>
  <c r="L51" i="18"/>
  <c r="M50" i="18"/>
  <c r="M51" i="18"/>
  <c r="N50" i="18"/>
  <c r="N51" i="18"/>
  <c r="O51" i="18"/>
  <c r="O50" i="18"/>
  <c r="P50" i="18"/>
  <c r="P51" i="18"/>
  <c r="Q50" i="18"/>
  <c r="Q51" i="18"/>
  <c r="R50" i="18"/>
  <c r="R51" i="18"/>
  <c r="S23" i="15"/>
  <c r="S24" i="15" s="1"/>
  <c r="Q21" i="15"/>
  <c r="V21" i="15"/>
  <c r="Q11" i="15"/>
  <c r="K52" i="17"/>
  <c r="J52" i="17"/>
  <c r="I52" i="17"/>
  <c r="L52" i="17"/>
  <c r="H52" i="17"/>
  <c r="M52" i="17"/>
  <c r="I45" i="17"/>
  <c r="H45" i="17"/>
  <c r="M18" i="17"/>
  <c r="M19" i="17" s="1"/>
  <c r="J45" i="17"/>
  <c r="N17" i="17"/>
  <c r="M45" i="17"/>
  <c r="L45" i="17"/>
  <c r="M26" i="17"/>
  <c r="K45" i="17"/>
  <c r="H51" i="17"/>
  <c r="M51" i="17"/>
  <c r="L51" i="17"/>
  <c r="K51" i="17"/>
  <c r="J51" i="17"/>
  <c r="I51" i="17"/>
  <c r="M40" i="17"/>
  <c r="N52" i="17" s="1"/>
  <c r="L77" i="17"/>
  <c r="L66" i="17"/>
  <c r="L67" i="17" s="1"/>
  <c r="L88" i="17"/>
  <c r="N53" i="17"/>
  <c r="H53" i="17"/>
  <c r="M53" i="17"/>
  <c r="L53" i="17"/>
  <c r="K53" i="17"/>
  <c r="J53" i="17"/>
  <c r="I53" i="17"/>
  <c r="C33" i="15"/>
  <c r="R39" i="19" l="1"/>
  <c r="N40" i="19"/>
  <c r="K39" i="19"/>
  <c r="P20" i="26"/>
  <c r="Z20" i="26" s="1"/>
  <c r="Q39" i="19"/>
  <c r="M40" i="19"/>
  <c r="J39" i="19"/>
  <c r="L40" i="19"/>
  <c r="Q40" i="19"/>
  <c r="O39" i="19"/>
  <c r="I40" i="19"/>
  <c r="I41" i="19"/>
  <c r="N39" i="19"/>
  <c r="G41" i="19"/>
  <c r="I55" i="19"/>
  <c r="Q55" i="19"/>
  <c r="I57" i="19"/>
  <c r="R41" i="19"/>
  <c r="O40" i="19"/>
  <c r="L39" i="19"/>
  <c r="J40" i="19"/>
  <c r="H39" i="19"/>
  <c r="K55" i="19"/>
  <c r="R55" i="19"/>
  <c r="Q41" i="19"/>
  <c r="O41" i="19"/>
  <c r="L41" i="19"/>
  <c r="I39" i="19"/>
  <c r="G40" i="19"/>
  <c r="P39" i="19"/>
  <c r="N41" i="19"/>
  <c r="K41" i="19"/>
  <c r="G39" i="19"/>
  <c r="P40" i="19"/>
  <c r="M39" i="19"/>
  <c r="K40" i="19"/>
  <c r="H41" i="19"/>
  <c r="R40" i="19"/>
  <c r="P41" i="19"/>
  <c r="M41" i="19"/>
  <c r="J41" i="19"/>
  <c r="K57" i="19"/>
  <c r="M57" i="19"/>
  <c r="L55" i="19"/>
  <c r="R57" i="19"/>
  <c r="O55" i="19"/>
  <c r="J55" i="19"/>
  <c r="L57" i="19"/>
  <c r="M55" i="19"/>
  <c r="Q57" i="19"/>
  <c r="N55" i="19"/>
  <c r="P55" i="19"/>
  <c r="N57" i="19"/>
  <c r="J57" i="19"/>
  <c r="P57" i="19"/>
  <c r="O57" i="19"/>
  <c r="D69" i="24"/>
  <c r="H25" i="25"/>
  <c r="F68" i="25"/>
  <c r="G25" i="25"/>
  <c r="D69" i="25"/>
  <c r="V8" i="15"/>
  <c r="G7" i="23" s="1"/>
  <c r="D69" i="13"/>
  <c r="H25" i="13"/>
  <c r="K57" i="23"/>
  <c r="K59" i="23" s="1"/>
  <c r="N57" i="23"/>
  <c r="N61" i="23" s="1"/>
  <c r="Q42" i="23"/>
  <c r="M42" i="23"/>
  <c r="I42" i="23"/>
  <c r="I57" i="23"/>
  <c r="I61" i="23" s="1"/>
  <c r="O57" i="23"/>
  <c r="O61" i="23" s="1"/>
  <c r="P42" i="23"/>
  <c r="P57" i="23"/>
  <c r="P61" i="23" s="1"/>
  <c r="Q57" i="23"/>
  <c r="Q59" i="23" s="1"/>
  <c r="J57" i="23"/>
  <c r="J61" i="23" s="1"/>
  <c r="K42" i="23"/>
  <c r="L57" i="23"/>
  <c r="L59" i="23" s="1"/>
  <c r="M57" i="23"/>
  <c r="M59" i="23" s="1"/>
  <c r="R57" i="23"/>
  <c r="R59" i="23" s="1"/>
  <c r="R42" i="23"/>
  <c r="N42" i="23"/>
  <c r="H51" i="23"/>
  <c r="O42" i="23"/>
  <c r="H50" i="23"/>
  <c r="G42" i="23"/>
  <c r="J42" i="23"/>
  <c r="L42" i="23"/>
  <c r="H42" i="23"/>
  <c r="L40" i="18"/>
  <c r="I40" i="18"/>
  <c r="J41" i="18"/>
  <c r="R40" i="18"/>
  <c r="P41" i="18"/>
  <c r="P40" i="18"/>
  <c r="Q41" i="18"/>
  <c r="J40" i="18"/>
  <c r="N40" i="18"/>
  <c r="H41" i="18"/>
  <c r="N41" i="18"/>
  <c r="G41" i="18"/>
  <c r="G42" i="18" s="1"/>
  <c r="M40" i="18"/>
  <c r="R41" i="18"/>
  <c r="L41" i="18"/>
  <c r="Q40" i="18"/>
  <c r="M41" i="18"/>
  <c r="I41" i="18"/>
  <c r="O41" i="18"/>
  <c r="K41" i="18"/>
  <c r="H40" i="18"/>
  <c r="O40" i="18"/>
  <c r="K40" i="18"/>
  <c r="G61" i="22"/>
  <c r="G10" i="22" s="1"/>
  <c r="G63" i="21"/>
  <c r="G10" i="21" s="1"/>
  <c r="G61" i="20"/>
  <c r="G10" i="20" s="1"/>
  <c r="I56" i="18"/>
  <c r="P56" i="18"/>
  <c r="L56" i="18"/>
  <c r="O56" i="18"/>
  <c r="K56" i="18"/>
  <c r="R56" i="18"/>
  <c r="N56" i="18"/>
  <c r="J56" i="18"/>
  <c r="Q56" i="18"/>
  <c r="M56" i="18"/>
  <c r="K53" i="18"/>
  <c r="K54" i="18" s="1"/>
  <c r="H53" i="18"/>
  <c r="J53" i="18"/>
  <c r="J54" i="18" s="1"/>
  <c r="I53" i="18"/>
  <c r="I54" i="18" s="1"/>
  <c r="L53" i="18"/>
  <c r="L54" i="18" s="1"/>
  <c r="M53" i="18"/>
  <c r="M54" i="18" s="1"/>
  <c r="N53" i="18"/>
  <c r="N54" i="18" s="1"/>
  <c r="O53" i="18"/>
  <c r="O54" i="18" s="1"/>
  <c r="P53" i="18"/>
  <c r="P54" i="18" s="1"/>
  <c r="Q53" i="18"/>
  <c r="Q54" i="18" s="1"/>
  <c r="R53" i="18"/>
  <c r="R54" i="18" s="1"/>
  <c r="V6" i="15"/>
  <c r="V10" i="15"/>
  <c r="V9" i="15"/>
  <c r="V7" i="15"/>
  <c r="D53" i="15"/>
  <c r="F53" i="15" s="1"/>
  <c r="M89" i="17"/>
  <c r="M91" i="17" s="1"/>
  <c r="M93" i="17" s="1"/>
  <c r="M55" i="17"/>
  <c r="M46" i="17"/>
  <c r="M48" i="17" s="1"/>
  <c r="H55" i="17"/>
  <c r="H89" i="17"/>
  <c r="H91" i="17" s="1"/>
  <c r="H93" i="17" s="1"/>
  <c r="H46" i="17"/>
  <c r="H48" i="17" s="1"/>
  <c r="L89" i="17"/>
  <c r="L91" i="17" s="1"/>
  <c r="L93" i="17" s="1"/>
  <c r="L55" i="17"/>
  <c r="L46" i="17"/>
  <c r="L48" i="17" s="1"/>
  <c r="N51" i="17"/>
  <c r="N45" i="17"/>
  <c r="I89" i="17"/>
  <c r="I91" i="17" s="1"/>
  <c r="I93" i="17" s="1"/>
  <c r="I55" i="17"/>
  <c r="I46" i="17"/>
  <c r="I48" i="17" s="1"/>
  <c r="K89" i="17"/>
  <c r="K91" i="17" s="1"/>
  <c r="K93" i="17" s="1"/>
  <c r="K55" i="17"/>
  <c r="K46" i="17"/>
  <c r="K48" i="17" s="1"/>
  <c r="N40" i="17"/>
  <c r="M77" i="17"/>
  <c r="M66" i="17"/>
  <c r="M67" i="17" s="1"/>
  <c r="M88" i="17"/>
  <c r="J89" i="17"/>
  <c r="J91" i="17" s="1"/>
  <c r="J93" i="17" s="1"/>
  <c r="J46" i="17"/>
  <c r="J48" i="17" s="1"/>
  <c r="J55" i="17"/>
  <c r="Q42" i="19" l="1"/>
  <c r="I42" i="19"/>
  <c r="Q58" i="19"/>
  <c r="Q60" i="19" s="1"/>
  <c r="L42" i="19"/>
  <c r="O42" i="19"/>
  <c r="I58" i="19"/>
  <c r="I62" i="19" s="1"/>
  <c r="J42" i="19"/>
  <c r="L58" i="19"/>
  <c r="L62" i="19" s="1"/>
  <c r="P58" i="19"/>
  <c r="P60" i="19" s="1"/>
  <c r="K42" i="19"/>
  <c r="G42" i="19"/>
  <c r="K58" i="19"/>
  <c r="K60" i="19" s="1"/>
  <c r="R42" i="19"/>
  <c r="M42" i="19"/>
  <c r="J58" i="19"/>
  <c r="J60" i="19" s="1"/>
  <c r="N58" i="19"/>
  <c r="N62" i="19" s="1"/>
  <c r="O58" i="19"/>
  <c r="O62" i="19" s="1"/>
  <c r="R58" i="19"/>
  <c r="R60" i="19" s="1"/>
  <c r="H42" i="19"/>
  <c r="H51" i="19"/>
  <c r="M58" i="19"/>
  <c r="M62" i="19" s="1"/>
  <c r="H52" i="19"/>
  <c r="P42" i="19"/>
  <c r="H50" i="19"/>
  <c r="N42" i="19"/>
  <c r="F78" i="13"/>
  <c r="N59" i="23"/>
  <c r="K61" i="23"/>
  <c r="I59" i="23"/>
  <c r="P59" i="23"/>
  <c r="J59" i="23"/>
  <c r="Q61" i="23"/>
  <c r="M61" i="23"/>
  <c r="O59" i="23"/>
  <c r="R61" i="23"/>
  <c r="L61" i="23"/>
  <c r="H54" i="23"/>
  <c r="H56" i="23"/>
  <c r="I42" i="18"/>
  <c r="R42" i="18"/>
  <c r="L42" i="18"/>
  <c r="P42" i="18"/>
  <c r="J42" i="18"/>
  <c r="H42" i="18"/>
  <c r="N42" i="18"/>
  <c r="Q42" i="18"/>
  <c r="O42" i="18"/>
  <c r="M42" i="18"/>
  <c r="H51" i="18"/>
  <c r="H50" i="18"/>
  <c r="K42" i="18"/>
  <c r="G7" i="17"/>
  <c r="G7" i="5"/>
  <c r="G7" i="4"/>
  <c r="L57" i="18"/>
  <c r="K57" i="18"/>
  <c r="R57" i="18"/>
  <c r="Q57" i="18"/>
  <c r="P57" i="18"/>
  <c r="O57" i="18"/>
  <c r="M57" i="18"/>
  <c r="J57" i="18"/>
  <c r="I57" i="18"/>
  <c r="N57" i="18"/>
  <c r="G7" i="2"/>
  <c r="V11" i="15"/>
  <c r="V23" i="15" s="1"/>
  <c r="V24" i="15" s="1"/>
  <c r="O40" i="17"/>
  <c r="N77" i="17"/>
  <c r="N66" i="17"/>
  <c r="N67" i="17" s="1"/>
  <c r="N88" i="17"/>
  <c r="O52" i="17"/>
  <c r="O45" i="17"/>
  <c r="O51" i="17"/>
  <c r="O53" i="17"/>
  <c r="N89" i="17"/>
  <c r="N91" i="17" s="1"/>
  <c r="N93" i="17" s="1"/>
  <c r="N55" i="17"/>
  <c r="N46" i="17"/>
  <c r="N48" i="17" s="1"/>
  <c r="Q62" i="19" l="1"/>
  <c r="I60" i="19"/>
  <c r="J62" i="19"/>
  <c r="L60" i="19"/>
  <c r="N60" i="19"/>
  <c r="P62" i="19"/>
  <c r="K62" i="19"/>
  <c r="O60" i="19"/>
  <c r="H57" i="19"/>
  <c r="M60" i="19"/>
  <c r="R62" i="19"/>
  <c r="H55" i="19"/>
  <c r="E25" i="24"/>
  <c r="F25" i="24"/>
  <c r="F25" i="13"/>
  <c r="E25" i="13"/>
  <c r="H57" i="23"/>
  <c r="H56" i="18"/>
  <c r="H54" i="18"/>
  <c r="O59" i="18"/>
  <c r="O61" i="18"/>
  <c r="Q61" i="18"/>
  <c r="Q59" i="18"/>
  <c r="N61" i="18"/>
  <c r="N59" i="18"/>
  <c r="K59" i="18"/>
  <c r="K61" i="18"/>
  <c r="J59" i="18"/>
  <c r="J61" i="18"/>
  <c r="R59" i="18"/>
  <c r="R61" i="18"/>
  <c r="I59" i="18"/>
  <c r="I61" i="18"/>
  <c r="M59" i="18"/>
  <c r="M61" i="18"/>
  <c r="P59" i="18"/>
  <c r="P61" i="18"/>
  <c r="L61" i="18"/>
  <c r="L59" i="18"/>
  <c r="O55" i="17"/>
  <c r="O46" i="17"/>
  <c r="O48" i="17" s="1"/>
  <c r="O89" i="17"/>
  <c r="O91" i="17" s="1"/>
  <c r="O93" i="17" s="1"/>
  <c r="P40" i="17"/>
  <c r="O77" i="17"/>
  <c r="O66" i="17"/>
  <c r="O67" i="17" s="1"/>
  <c r="O88" i="17"/>
  <c r="P51" i="17"/>
  <c r="P53" i="17"/>
  <c r="P45" i="17"/>
  <c r="P52" i="17"/>
  <c r="F44" i="13"/>
  <c r="G44" i="13" s="1"/>
  <c r="H44" i="13" s="1"/>
  <c r="I44" i="13" s="1"/>
  <c r="J44" i="13" s="1"/>
  <c r="K44" i="13" s="1"/>
  <c r="L44" i="13" s="1"/>
  <c r="F4" i="13"/>
  <c r="G4" i="13" s="1"/>
  <c r="H4" i="13" s="1"/>
  <c r="I4" i="13" s="1"/>
  <c r="J4" i="13" s="1"/>
  <c r="K4" i="13" s="1"/>
  <c r="L4" i="13" s="1"/>
  <c r="M4" i="13" s="1"/>
  <c r="N4" i="13" s="1"/>
  <c r="O4" i="13" s="1"/>
  <c r="N44" i="12"/>
  <c r="M44" i="12"/>
  <c r="O33" i="12"/>
  <c r="O34" i="12"/>
  <c r="O35" i="12"/>
  <c r="O36" i="12"/>
  <c r="O37" i="12"/>
  <c r="O38" i="12"/>
  <c r="O39" i="12"/>
  <c r="O40" i="12"/>
  <c r="O41" i="12"/>
  <c r="O42" i="12"/>
  <c r="O43" i="12"/>
  <c r="O4" i="12"/>
  <c r="O5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F5" i="12"/>
  <c r="F34" i="12"/>
  <c r="Q29" i="12"/>
  <c r="N29" i="12"/>
  <c r="M29" i="12"/>
  <c r="H85" i="11"/>
  <c r="R47" i="11"/>
  <c r="Q47" i="11"/>
  <c r="P47" i="11"/>
  <c r="O47" i="11"/>
  <c r="N47" i="11"/>
  <c r="M47" i="11"/>
  <c r="L47" i="11"/>
  <c r="K47" i="11"/>
  <c r="J47" i="11"/>
  <c r="I47" i="11"/>
  <c r="H47" i="11"/>
  <c r="H46" i="11"/>
  <c r="H40" i="11"/>
  <c r="G20" i="11"/>
  <c r="R94" i="5"/>
  <c r="Q94" i="5"/>
  <c r="P94" i="5"/>
  <c r="O94" i="5"/>
  <c r="N94" i="5"/>
  <c r="M94" i="5"/>
  <c r="L94" i="5"/>
  <c r="K94" i="5"/>
  <c r="J94" i="5"/>
  <c r="I94" i="5"/>
  <c r="H94" i="5"/>
  <c r="C57" i="5"/>
  <c r="C56" i="5"/>
  <c r="C55" i="5"/>
  <c r="C54" i="5"/>
  <c r="C53" i="5"/>
  <c r="R43" i="5"/>
  <c r="Q43" i="5"/>
  <c r="P43" i="5"/>
  <c r="O43" i="5"/>
  <c r="N43" i="5"/>
  <c r="M43" i="5"/>
  <c r="L43" i="5"/>
  <c r="K43" i="5"/>
  <c r="J43" i="5"/>
  <c r="I43" i="5"/>
  <c r="H43" i="5"/>
  <c r="H42" i="5"/>
  <c r="I42" i="5" s="1"/>
  <c r="L92" i="5"/>
  <c r="R92" i="4"/>
  <c r="Q92" i="4"/>
  <c r="P92" i="4"/>
  <c r="O92" i="4"/>
  <c r="N92" i="4"/>
  <c r="M92" i="4"/>
  <c r="L92" i="4"/>
  <c r="K92" i="4"/>
  <c r="J92" i="4"/>
  <c r="I92" i="4"/>
  <c r="H92" i="4"/>
  <c r="K90" i="4"/>
  <c r="C55" i="4"/>
  <c r="C54" i="4"/>
  <c r="C53" i="4"/>
  <c r="C52" i="4"/>
  <c r="C51" i="4"/>
  <c r="R41" i="4"/>
  <c r="Q41" i="4"/>
  <c r="P41" i="4"/>
  <c r="O41" i="4"/>
  <c r="N41" i="4"/>
  <c r="M41" i="4"/>
  <c r="L41" i="4"/>
  <c r="K41" i="4"/>
  <c r="J41" i="4"/>
  <c r="I41" i="4"/>
  <c r="H41" i="4"/>
  <c r="H40" i="4"/>
  <c r="H88" i="4" s="1"/>
  <c r="R90" i="4"/>
  <c r="B85" i="2"/>
  <c r="B83" i="2"/>
  <c r="B82" i="2"/>
  <c r="B81" i="2"/>
  <c r="R45" i="2"/>
  <c r="Q45" i="2"/>
  <c r="P45" i="2"/>
  <c r="O45" i="2"/>
  <c r="N45" i="2"/>
  <c r="M45" i="2"/>
  <c r="L45" i="2"/>
  <c r="K45" i="2"/>
  <c r="J45" i="2"/>
  <c r="I45" i="2"/>
  <c r="H45" i="2"/>
  <c r="H44" i="2"/>
  <c r="G37" i="2"/>
  <c r="H58" i="19" l="1"/>
  <c r="H62" i="19" s="1"/>
  <c r="N49" i="25"/>
  <c r="D68" i="25" s="1"/>
  <c r="K49" i="25"/>
  <c r="M49" i="25"/>
  <c r="L49" i="25"/>
  <c r="O29" i="12"/>
  <c r="U20" i="15"/>
  <c r="G4" i="11" s="1"/>
  <c r="U17" i="15"/>
  <c r="G4" i="18" s="1"/>
  <c r="U17" i="18" s="1"/>
  <c r="U16" i="15"/>
  <c r="G4" i="19" s="1"/>
  <c r="G51" i="12"/>
  <c r="F76" i="25" s="1"/>
  <c r="G84" i="25" s="1"/>
  <c r="U21" i="26" s="1"/>
  <c r="F35" i="12"/>
  <c r="F36" i="12" s="1"/>
  <c r="F37" i="12" s="1"/>
  <c r="F38" i="12" s="1"/>
  <c r="F39" i="12" s="1"/>
  <c r="F40" i="12" s="1"/>
  <c r="F41" i="12" s="1"/>
  <c r="F42" i="12" s="1"/>
  <c r="F43" i="12" s="1"/>
  <c r="G49" i="12"/>
  <c r="F76" i="24" s="1"/>
  <c r="G84" i="24" s="1"/>
  <c r="F6" i="12"/>
  <c r="F7" i="12" s="1"/>
  <c r="F8" i="12" s="1"/>
  <c r="F9" i="12" s="1"/>
  <c r="F10" i="12" s="1"/>
  <c r="F11" i="12" s="1"/>
  <c r="F12" i="12" s="1"/>
  <c r="F13" i="12" s="1"/>
  <c r="F14" i="12" s="1"/>
  <c r="F15" i="12" s="1"/>
  <c r="F16" i="12" s="1"/>
  <c r="F17" i="12" s="1"/>
  <c r="F18" i="12" s="1"/>
  <c r="F19" i="12" s="1"/>
  <c r="F20" i="12" s="1"/>
  <c r="F21" i="12" s="1"/>
  <c r="F22" i="12" s="1"/>
  <c r="F23" i="12" s="1"/>
  <c r="F24" i="12" s="1"/>
  <c r="F25" i="12" s="1"/>
  <c r="F26" i="12" s="1"/>
  <c r="F27" i="12" s="1"/>
  <c r="F28" i="12" s="1"/>
  <c r="H61" i="23"/>
  <c r="H59" i="23"/>
  <c r="M49" i="13"/>
  <c r="N49" i="13"/>
  <c r="L49" i="13"/>
  <c r="K49" i="13"/>
  <c r="M43" i="11"/>
  <c r="M45" i="11" s="1"/>
  <c r="H57" i="18"/>
  <c r="H61" i="18" s="1"/>
  <c r="M44" i="13"/>
  <c r="N44" i="13" s="1"/>
  <c r="O44" i="12"/>
  <c r="P88" i="17"/>
  <c r="Q40" i="17"/>
  <c r="Q53" i="17"/>
  <c r="Q52" i="17"/>
  <c r="Q45" i="17"/>
  <c r="Q51" i="17"/>
  <c r="P55" i="17"/>
  <c r="P89" i="17"/>
  <c r="P91" i="17" s="1"/>
  <c r="P93" i="17" s="1"/>
  <c r="P46" i="17"/>
  <c r="P48" i="17" s="1"/>
  <c r="H74" i="11"/>
  <c r="H75" i="11" s="1"/>
  <c r="H48" i="11"/>
  <c r="O43" i="11"/>
  <c r="H43" i="11"/>
  <c r="P43" i="11"/>
  <c r="N43" i="11"/>
  <c r="I43" i="11"/>
  <c r="Q43" i="11"/>
  <c r="J43" i="11"/>
  <c r="R43" i="11"/>
  <c r="I46" i="11"/>
  <c r="I48" i="11" s="1"/>
  <c r="K43" i="11"/>
  <c r="L43" i="11"/>
  <c r="I40" i="11"/>
  <c r="H37" i="2"/>
  <c r="I79" i="5"/>
  <c r="I68" i="5"/>
  <c r="I69" i="5" s="1"/>
  <c r="I90" i="5"/>
  <c r="J42" i="5"/>
  <c r="M92" i="5"/>
  <c r="M17" i="5"/>
  <c r="M22" i="5"/>
  <c r="G64" i="5"/>
  <c r="G9" i="5" s="1"/>
  <c r="N92" i="5"/>
  <c r="O92" i="5"/>
  <c r="M23" i="5"/>
  <c r="P92" i="5"/>
  <c r="I92" i="5"/>
  <c r="Q92" i="5"/>
  <c r="H92" i="5"/>
  <c r="M24" i="5"/>
  <c r="H90" i="5"/>
  <c r="J92" i="5"/>
  <c r="R92" i="5"/>
  <c r="G19" i="5"/>
  <c r="H68" i="5"/>
  <c r="H69" i="5" s="1"/>
  <c r="H79" i="5"/>
  <c r="K92" i="5"/>
  <c r="H77" i="4"/>
  <c r="I40" i="4"/>
  <c r="L90" i="4"/>
  <c r="M90" i="4"/>
  <c r="M17" i="4"/>
  <c r="O90" i="4"/>
  <c r="M22" i="4"/>
  <c r="N90" i="4"/>
  <c r="M23" i="4"/>
  <c r="H90" i="4"/>
  <c r="P90" i="4"/>
  <c r="G62" i="4"/>
  <c r="G9" i="4" s="1"/>
  <c r="I90" i="4"/>
  <c r="Q90" i="4"/>
  <c r="H66" i="4"/>
  <c r="H67" i="4" s="1"/>
  <c r="M24" i="4"/>
  <c r="J90" i="4"/>
  <c r="H76" i="2"/>
  <c r="H65" i="2"/>
  <c r="I44" i="2"/>
  <c r="P21" i="26" l="1"/>
  <c r="Z21" i="26" s="1"/>
  <c r="H60" i="19"/>
  <c r="M48" i="24"/>
  <c r="L48" i="24"/>
  <c r="K48" i="24"/>
  <c r="N48" i="24"/>
  <c r="J48" i="24"/>
  <c r="I48" i="24"/>
  <c r="U21" i="15"/>
  <c r="G50" i="12"/>
  <c r="G48" i="12"/>
  <c r="H22" i="13"/>
  <c r="G22" i="13"/>
  <c r="E55" i="12"/>
  <c r="F76" i="13"/>
  <c r="U8" i="15"/>
  <c r="G4" i="23" s="1"/>
  <c r="U7" i="15"/>
  <c r="G4" i="2" s="1"/>
  <c r="U6" i="15"/>
  <c r="G4" i="4" s="1"/>
  <c r="U10" i="15"/>
  <c r="G4" i="17" s="1"/>
  <c r="U9" i="15"/>
  <c r="G4" i="5" s="1"/>
  <c r="G24" i="13"/>
  <c r="M44" i="11"/>
  <c r="M65" i="11" s="1"/>
  <c r="M48" i="13"/>
  <c r="N48" i="13"/>
  <c r="L48" i="13"/>
  <c r="K48" i="13"/>
  <c r="H59" i="18"/>
  <c r="J48" i="13"/>
  <c r="I48" i="13"/>
  <c r="G12" i="22"/>
  <c r="G12" i="21"/>
  <c r="G12" i="20"/>
  <c r="G12" i="19"/>
  <c r="H61" i="19" s="1"/>
  <c r="G12" i="11"/>
  <c r="F12" i="11" s="1"/>
  <c r="G12" i="18"/>
  <c r="Q88" i="17"/>
  <c r="R40" i="17"/>
  <c r="R52" i="17"/>
  <c r="R45" i="17"/>
  <c r="R51" i="17"/>
  <c r="R53" i="17"/>
  <c r="Q89" i="17"/>
  <c r="Q91" i="17" s="1"/>
  <c r="Q93" i="17" s="1"/>
  <c r="Q55" i="17"/>
  <c r="Q46" i="17"/>
  <c r="Q48" i="17" s="1"/>
  <c r="K44" i="11"/>
  <c r="K45" i="11"/>
  <c r="H44" i="11"/>
  <c r="H45" i="11"/>
  <c r="H50" i="11" s="1"/>
  <c r="P44" i="11"/>
  <c r="P45" i="11"/>
  <c r="R44" i="11"/>
  <c r="R45" i="11"/>
  <c r="O45" i="11"/>
  <c r="O44" i="11"/>
  <c r="J44" i="11"/>
  <c r="J45" i="11"/>
  <c r="N45" i="11"/>
  <c r="N44" i="11"/>
  <c r="J46" i="11"/>
  <c r="J48" i="11" s="1"/>
  <c r="J40" i="11"/>
  <c r="I85" i="11"/>
  <c r="I74" i="11"/>
  <c r="I75" i="11" s="1"/>
  <c r="Q44" i="11"/>
  <c r="Q45" i="11"/>
  <c r="L45" i="11"/>
  <c r="L44" i="11"/>
  <c r="I44" i="11"/>
  <c r="I45" i="11"/>
  <c r="I50" i="11" s="1"/>
  <c r="I37" i="2"/>
  <c r="J47" i="5"/>
  <c r="I47" i="5"/>
  <c r="N17" i="5"/>
  <c r="H47" i="5"/>
  <c r="M18" i="5"/>
  <c r="M19" i="5" s="1"/>
  <c r="M26" i="5"/>
  <c r="K47" i="5"/>
  <c r="L54" i="5"/>
  <c r="K54" i="5"/>
  <c r="H54" i="5"/>
  <c r="J54" i="5"/>
  <c r="I54" i="5"/>
  <c r="H53" i="5"/>
  <c r="K53" i="5"/>
  <c r="J53" i="5"/>
  <c r="I53" i="5"/>
  <c r="H55" i="5"/>
  <c r="K55" i="5"/>
  <c r="J55" i="5"/>
  <c r="I55" i="5"/>
  <c r="J90" i="5"/>
  <c r="K42" i="5"/>
  <c r="J79" i="5"/>
  <c r="J68" i="5"/>
  <c r="J69" i="5" s="1"/>
  <c r="J53" i="4"/>
  <c r="I53" i="4"/>
  <c r="H53" i="4"/>
  <c r="I88" i="4"/>
  <c r="J40" i="4"/>
  <c r="K52" i="4" s="1"/>
  <c r="I77" i="4"/>
  <c r="I66" i="4"/>
  <c r="I67" i="4" s="1"/>
  <c r="J52" i="4"/>
  <c r="I52" i="4"/>
  <c r="H52" i="4"/>
  <c r="J51" i="4"/>
  <c r="I51" i="4"/>
  <c r="H51" i="4"/>
  <c r="H45" i="4"/>
  <c r="M18" i="4"/>
  <c r="M19" i="4" s="1"/>
  <c r="J45" i="4"/>
  <c r="M26" i="4"/>
  <c r="N17" i="4"/>
  <c r="I45" i="4"/>
  <c r="I65" i="2"/>
  <c r="J44" i="2"/>
  <c r="I76" i="2"/>
  <c r="H63" i="19" l="1"/>
  <c r="H6" i="25" s="1"/>
  <c r="J39" i="25"/>
  <c r="J39" i="24"/>
  <c r="E24" i="24"/>
  <c r="J39" i="13"/>
  <c r="E54" i="12"/>
  <c r="E56" i="12" s="1"/>
  <c r="E24" i="13"/>
  <c r="F68" i="13"/>
  <c r="D68" i="13" s="1"/>
  <c r="U11" i="15"/>
  <c r="U23" i="15" s="1"/>
  <c r="U24" i="15" s="1"/>
  <c r="U17" i="23"/>
  <c r="G12" i="23"/>
  <c r="M61" i="11"/>
  <c r="M64" i="11"/>
  <c r="M63" i="11"/>
  <c r="M66" i="11"/>
  <c r="M62" i="11"/>
  <c r="G12" i="2"/>
  <c r="N61" i="2" s="1"/>
  <c r="F12" i="22"/>
  <c r="R17" i="22"/>
  <c r="R18" i="22" s="1"/>
  <c r="M25" i="22"/>
  <c r="F12" i="21"/>
  <c r="R17" i="21"/>
  <c r="R18" i="21" s="1"/>
  <c r="M25" i="21"/>
  <c r="M61" i="19"/>
  <c r="M63" i="19" s="1"/>
  <c r="N61" i="19"/>
  <c r="N63" i="19" s="1"/>
  <c r="R17" i="20"/>
  <c r="M25" i="20"/>
  <c r="F12" i="20"/>
  <c r="P61" i="19"/>
  <c r="P63" i="19" s="1"/>
  <c r="K61" i="19"/>
  <c r="K63" i="19" s="1"/>
  <c r="I61" i="19"/>
  <c r="I63" i="19" s="1"/>
  <c r="L61" i="19"/>
  <c r="L63" i="19" s="1"/>
  <c r="R33" i="19"/>
  <c r="Q61" i="19"/>
  <c r="Q63" i="19" s="1"/>
  <c r="F12" i="19"/>
  <c r="J61" i="19"/>
  <c r="J63" i="19" s="1"/>
  <c r="O61" i="19"/>
  <c r="O63" i="19" s="1"/>
  <c r="O6" i="25" s="1"/>
  <c r="R61" i="19"/>
  <c r="R63" i="19" s="1"/>
  <c r="Q65" i="19" s="1"/>
  <c r="I60" i="18"/>
  <c r="I62" i="18" s="1"/>
  <c r="I7" i="25" s="1"/>
  <c r="K60" i="18"/>
  <c r="K62" i="18" s="1"/>
  <c r="K7" i="25" s="1"/>
  <c r="R60" i="18"/>
  <c r="R62" i="18" s="1"/>
  <c r="Q64" i="18" s="1"/>
  <c r="L60" i="18"/>
  <c r="L62" i="18" s="1"/>
  <c r="L7" i="25" s="1"/>
  <c r="J60" i="18"/>
  <c r="J62" i="18" s="1"/>
  <c r="J7" i="25" s="1"/>
  <c r="M60" i="18"/>
  <c r="M62" i="18" s="1"/>
  <c r="M7" i="25" s="1"/>
  <c r="N60" i="18"/>
  <c r="N62" i="18" s="1"/>
  <c r="N7" i="25" s="1"/>
  <c r="O60" i="18"/>
  <c r="O62" i="18" s="1"/>
  <c r="O7" i="25" s="1"/>
  <c r="P60" i="18"/>
  <c r="P62" i="18" s="1"/>
  <c r="Q60" i="18"/>
  <c r="Q62" i="18" s="1"/>
  <c r="R34" i="18"/>
  <c r="H60" i="18"/>
  <c r="H62" i="18" s="1"/>
  <c r="H7" i="25" s="1"/>
  <c r="F12" i="18"/>
  <c r="U18" i="18"/>
  <c r="U21" i="18" s="1"/>
  <c r="U23" i="18" s="1"/>
  <c r="U24" i="18" s="1"/>
  <c r="U25" i="18" s="1"/>
  <c r="U27" i="18" s="1"/>
  <c r="R29" i="18" s="1"/>
  <c r="R89" i="17"/>
  <c r="R91" i="17" s="1"/>
  <c r="R93" i="17" s="1"/>
  <c r="G61" i="17" s="1"/>
  <c r="G10" i="17" s="1"/>
  <c r="R46" i="17"/>
  <c r="R48" i="17" s="1"/>
  <c r="R55" i="17"/>
  <c r="R78" i="17"/>
  <c r="R88" i="17"/>
  <c r="R80" i="17"/>
  <c r="R77" i="17"/>
  <c r="R66" i="17"/>
  <c r="R67" i="17" s="1"/>
  <c r="I64" i="11"/>
  <c r="I61" i="11"/>
  <c r="I66" i="11"/>
  <c r="I63" i="11"/>
  <c r="I65" i="11"/>
  <c r="I62" i="11"/>
  <c r="K46" i="11"/>
  <c r="K48" i="11" s="1"/>
  <c r="K50" i="11" s="1"/>
  <c r="J85" i="11"/>
  <c r="J74" i="11"/>
  <c r="J75" i="11" s="1"/>
  <c r="K40" i="11"/>
  <c r="P62" i="11"/>
  <c r="P64" i="11"/>
  <c r="P61" i="11"/>
  <c r="P66" i="11"/>
  <c r="P63" i="11"/>
  <c r="P65" i="11"/>
  <c r="R17" i="11"/>
  <c r="R64" i="11"/>
  <c r="R61" i="11"/>
  <c r="R66" i="11"/>
  <c r="R63" i="11"/>
  <c r="R65" i="11"/>
  <c r="R62" i="11"/>
  <c r="J50" i="11"/>
  <c r="J64" i="11"/>
  <c r="J61" i="11"/>
  <c r="J66" i="11"/>
  <c r="J63" i="11"/>
  <c r="J65" i="11"/>
  <c r="J62" i="11"/>
  <c r="H62" i="11"/>
  <c r="H64" i="11"/>
  <c r="H61" i="11"/>
  <c r="H66" i="11"/>
  <c r="H65" i="11"/>
  <c r="H63" i="11"/>
  <c r="O65" i="11"/>
  <c r="O62" i="11"/>
  <c r="O64" i="11"/>
  <c r="O61" i="11"/>
  <c r="O66" i="11"/>
  <c r="O63" i="11"/>
  <c r="Q64" i="11"/>
  <c r="Q61" i="11"/>
  <c r="Q66" i="11"/>
  <c r="Q62" i="11"/>
  <c r="Q63" i="11"/>
  <c r="Q65" i="11"/>
  <c r="N65" i="11"/>
  <c r="N62" i="11"/>
  <c r="N63" i="11"/>
  <c r="N64" i="11"/>
  <c r="N61" i="11"/>
  <c r="N66" i="11"/>
  <c r="L66" i="11"/>
  <c r="L63" i="11"/>
  <c r="L61" i="11"/>
  <c r="L65" i="11"/>
  <c r="L62" i="11"/>
  <c r="L64" i="11"/>
  <c r="K61" i="11"/>
  <c r="K64" i="11"/>
  <c r="K66" i="11"/>
  <c r="K63" i="11"/>
  <c r="K65" i="11"/>
  <c r="K62" i="11"/>
  <c r="J37" i="2"/>
  <c r="L42" i="5"/>
  <c r="K79" i="5"/>
  <c r="K68" i="5"/>
  <c r="K69" i="5" s="1"/>
  <c r="K90" i="5"/>
  <c r="K57" i="5"/>
  <c r="K48" i="5"/>
  <c r="K50" i="5" s="1"/>
  <c r="K91" i="5"/>
  <c r="K93" i="5" s="1"/>
  <c r="K95" i="5" s="1"/>
  <c r="L47" i="5"/>
  <c r="I91" i="5"/>
  <c r="I93" i="5" s="1"/>
  <c r="I95" i="5" s="1"/>
  <c r="I57" i="5"/>
  <c r="I48" i="5"/>
  <c r="I50" i="5" s="1"/>
  <c r="L55" i="5"/>
  <c r="J91" i="5"/>
  <c r="J93" i="5" s="1"/>
  <c r="J95" i="5" s="1"/>
  <c r="J48" i="5"/>
  <c r="J50" i="5" s="1"/>
  <c r="J57" i="5"/>
  <c r="L53" i="5"/>
  <c r="H57" i="5"/>
  <c r="H91" i="5"/>
  <c r="H93" i="5" s="1"/>
  <c r="H95" i="5" s="1"/>
  <c r="H48" i="5"/>
  <c r="H50" i="5" s="1"/>
  <c r="K45" i="4"/>
  <c r="K89" i="4" s="1"/>
  <c r="K91" i="4" s="1"/>
  <c r="K93" i="4" s="1"/>
  <c r="K53" i="4"/>
  <c r="J55" i="4"/>
  <c r="J89" i="4"/>
  <c r="J91" i="4" s="1"/>
  <c r="J93" i="4" s="1"/>
  <c r="J46" i="4"/>
  <c r="J48" i="4" s="1"/>
  <c r="K40" i="4"/>
  <c r="J77" i="4"/>
  <c r="J66" i="4"/>
  <c r="J67" i="4" s="1"/>
  <c r="J88" i="4"/>
  <c r="H89" i="4"/>
  <c r="H91" i="4" s="1"/>
  <c r="H93" i="4" s="1"/>
  <c r="H55" i="4"/>
  <c r="H46" i="4"/>
  <c r="H48" i="4" s="1"/>
  <c r="K51" i="4"/>
  <c r="I89" i="4"/>
  <c r="I91" i="4" s="1"/>
  <c r="I93" i="4" s="1"/>
  <c r="I46" i="4"/>
  <c r="I48" i="4" s="1"/>
  <c r="I55" i="4"/>
  <c r="J76" i="2"/>
  <c r="J65" i="2"/>
  <c r="K44" i="2"/>
  <c r="H67" i="19" l="1"/>
  <c r="G33" i="19"/>
  <c r="G34" i="19"/>
  <c r="K67" i="19"/>
  <c r="K6" i="25"/>
  <c r="N67" i="19"/>
  <c r="N6" i="25"/>
  <c r="L67" i="19"/>
  <c r="L6" i="25"/>
  <c r="M67" i="19"/>
  <c r="M6" i="25"/>
  <c r="I67" i="19"/>
  <c r="I6" i="25"/>
  <c r="J67" i="19"/>
  <c r="J6" i="25"/>
  <c r="M75" i="25"/>
  <c r="L74" i="25"/>
  <c r="L75" i="25" s="1"/>
  <c r="M82" i="25" s="1"/>
  <c r="U10" i="26" s="1"/>
  <c r="H17" i="25"/>
  <c r="G17" i="25"/>
  <c r="H17" i="13"/>
  <c r="M75" i="24"/>
  <c r="P66" i="18"/>
  <c r="O64" i="18"/>
  <c r="O66" i="18" s="1"/>
  <c r="P67" i="19"/>
  <c r="O65" i="19"/>
  <c r="O67" i="19" s="1"/>
  <c r="G17" i="13"/>
  <c r="R60" i="23"/>
  <c r="R62" i="23" s="1"/>
  <c r="Q64" i="23" s="1"/>
  <c r="H60" i="23"/>
  <c r="H62" i="23" s="1"/>
  <c r="J60" i="23"/>
  <c r="J62" i="23" s="1"/>
  <c r="H7" i="24" s="1"/>
  <c r="O60" i="23"/>
  <c r="O62" i="23" s="1"/>
  <c r="Q60" i="23"/>
  <c r="Q62" i="23" s="1"/>
  <c r="O7" i="24" s="1"/>
  <c r="N60" i="23"/>
  <c r="N62" i="23" s="1"/>
  <c r="F12" i="23"/>
  <c r="I60" i="23"/>
  <c r="I62" i="23" s="1"/>
  <c r="M60" i="23"/>
  <c r="M62" i="23" s="1"/>
  <c r="R34" i="23"/>
  <c r="L60" i="23"/>
  <c r="L62" i="23" s="1"/>
  <c r="U18" i="23"/>
  <c r="U21" i="23" s="1"/>
  <c r="U23" i="23" s="1"/>
  <c r="U24" i="23" s="1"/>
  <c r="U25" i="23" s="1"/>
  <c r="U27" i="23" s="1"/>
  <c r="R29" i="23" s="1"/>
  <c r="K60" i="23"/>
  <c r="K62" i="23" s="1"/>
  <c r="P60" i="23"/>
  <c r="P62" i="23" s="1"/>
  <c r="N7" i="24" s="1"/>
  <c r="L74" i="13"/>
  <c r="M75" i="13"/>
  <c r="M67" i="11"/>
  <c r="G27" i="18"/>
  <c r="R35" i="18"/>
  <c r="R36" i="18" s="1"/>
  <c r="R34" i="19"/>
  <c r="H61" i="2"/>
  <c r="R33" i="2"/>
  <c r="I61" i="2"/>
  <c r="O61" i="2"/>
  <c r="K61" i="2"/>
  <c r="M61" i="2"/>
  <c r="Q61" i="2"/>
  <c r="P61" i="2"/>
  <c r="J61" i="2"/>
  <c r="L61" i="2"/>
  <c r="R61" i="2"/>
  <c r="K66" i="18"/>
  <c r="N66" i="18"/>
  <c r="M66" i="18"/>
  <c r="I66" i="18"/>
  <c r="J66" i="18"/>
  <c r="L66" i="18"/>
  <c r="K54" i="22"/>
  <c r="K56" i="22" s="1"/>
  <c r="K58" i="22" s="1"/>
  <c r="R54" i="22"/>
  <c r="R56" i="22" s="1"/>
  <c r="R58" i="22" s="1"/>
  <c r="R64" i="22" s="1"/>
  <c r="J54" i="22"/>
  <c r="J56" i="22" s="1"/>
  <c r="J58" i="22" s="1"/>
  <c r="N54" i="22"/>
  <c r="N56" i="22" s="1"/>
  <c r="N58" i="22" s="1"/>
  <c r="Q54" i="22"/>
  <c r="Q56" i="22" s="1"/>
  <c r="Q58" i="22" s="1"/>
  <c r="Q64" i="22" s="1"/>
  <c r="I54" i="22"/>
  <c r="I56" i="22" s="1"/>
  <c r="I58" i="22" s="1"/>
  <c r="P54" i="22"/>
  <c r="P56" i="22" s="1"/>
  <c r="P58" i="22" s="1"/>
  <c r="P64" i="22" s="1"/>
  <c r="H54" i="22"/>
  <c r="H56" i="22" s="1"/>
  <c r="H58" i="22" s="1"/>
  <c r="H9" i="25" s="1"/>
  <c r="O54" i="22"/>
  <c r="O56" i="22" s="1"/>
  <c r="O58" i="22" s="1"/>
  <c r="M54" i="22"/>
  <c r="M56" i="22" s="1"/>
  <c r="M58" i="22" s="1"/>
  <c r="L54" i="22"/>
  <c r="L56" i="22" s="1"/>
  <c r="L58" i="22" s="1"/>
  <c r="M27" i="22"/>
  <c r="M29" i="22" s="1"/>
  <c r="R19" i="22"/>
  <c r="K56" i="21"/>
  <c r="K58" i="21" s="1"/>
  <c r="K60" i="21" s="1"/>
  <c r="N56" i="21"/>
  <c r="N58" i="21" s="1"/>
  <c r="N60" i="21" s="1"/>
  <c r="R56" i="21"/>
  <c r="R58" i="21" s="1"/>
  <c r="R60" i="21" s="1"/>
  <c r="R66" i="21" s="1"/>
  <c r="J56" i="21"/>
  <c r="J58" i="21" s="1"/>
  <c r="J60" i="21" s="1"/>
  <c r="Q56" i="21"/>
  <c r="Q58" i="21" s="1"/>
  <c r="Q60" i="21" s="1"/>
  <c r="Q66" i="21" s="1"/>
  <c r="I56" i="21"/>
  <c r="I58" i="21" s="1"/>
  <c r="I60" i="21" s="1"/>
  <c r="P56" i="21"/>
  <c r="P58" i="21" s="1"/>
  <c r="P60" i="21" s="1"/>
  <c r="P66" i="21" s="1"/>
  <c r="H56" i="21"/>
  <c r="H58" i="21" s="1"/>
  <c r="H60" i="21" s="1"/>
  <c r="H10" i="25" s="1"/>
  <c r="O56" i="21"/>
  <c r="O58" i="21" s="1"/>
  <c r="O60" i="21" s="1"/>
  <c r="M56" i="21"/>
  <c r="M58" i="21" s="1"/>
  <c r="M60" i="21" s="1"/>
  <c r="L56" i="21"/>
  <c r="L58" i="21" s="1"/>
  <c r="L60" i="21" s="1"/>
  <c r="M27" i="21"/>
  <c r="M29" i="21" s="1"/>
  <c r="R19" i="21"/>
  <c r="R54" i="20"/>
  <c r="R56" i="20" s="1"/>
  <c r="R58" i="20" s="1"/>
  <c r="R64" i="20" s="1"/>
  <c r="J54" i="20"/>
  <c r="J56" i="20" s="1"/>
  <c r="J58" i="20" s="1"/>
  <c r="K54" i="20"/>
  <c r="K56" i="20" s="1"/>
  <c r="K58" i="20" s="1"/>
  <c r="Q54" i="20"/>
  <c r="Q56" i="20" s="1"/>
  <c r="Q58" i="20" s="1"/>
  <c r="Q64" i="20" s="1"/>
  <c r="I54" i="20"/>
  <c r="I56" i="20" s="1"/>
  <c r="I58" i="20" s="1"/>
  <c r="N54" i="20"/>
  <c r="N56" i="20" s="1"/>
  <c r="N58" i="20" s="1"/>
  <c r="P54" i="20"/>
  <c r="P56" i="20" s="1"/>
  <c r="P58" i="20" s="1"/>
  <c r="P64" i="20" s="1"/>
  <c r="H54" i="20"/>
  <c r="H56" i="20" s="1"/>
  <c r="H58" i="20" s="1"/>
  <c r="H8" i="25" s="1"/>
  <c r="L54" i="20"/>
  <c r="L56" i="20" s="1"/>
  <c r="L58" i="20" s="1"/>
  <c r="O54" i="20"/>
  <c r="O56" i="20" s="1"/>
  <c r="O58" i="20" s="1"/>
  <c r="M54" i="20"/>
  <c r="M56" i="20" s="1"/>
  <c r="M58" i="20" s="1"/>
  <c r="M27" i="20"/>
  <c r="M29" i="20" s="1"/>
  <c r="G32" i="19"/>
  <c r="R18" i="20"/>
  <c r="R19" i="20" s="1"/>
  <c r="R19" i="11"/>
  <c r="R18" i="11"/>
  <c r="R21" i="11"/>
  <c r="Q67" i="19"/>
  <c r="Q66" i="18"/>
  <c r="H66" i="18"/>
  <c r="G29" i="18"/>
  <c r="G28" i="18"/>
  <c r="G12" i="17"/>
  <c r="M25" i="17" s="1"/>
  <c r="H67" i="11"/>
  <c r="J67" i="11"/>
  <c r="I67" i="11"/>
  <c r="R67" i="11"/>
  <c r="L46" i="11"/>
  <c r="L48" i="11" s="1"/>
  <c r="L50" i="11" s="1"/>
  <c r="K85" i="11"/>
  <c r="K74" i="11"/>
  <c r="K75" i="11" s="1"/>
  <c r="L40" i="11"/>
  <c r="N67" i="11"/>
  <c r="O67" i="11"/>
  <c r="P67" i="11"/>
  <c r="K67" i="11"/>
  <c r="L67" i="11"/>
  <c r="Q67" i="11"/>
  <c r="K37" i="2"/>
  <c r="K46" i="4"/>
  <c r="K48" i="4" s="1"/>
  <c r="K55" i="4"/>
  <c r="L57" i="5"/>
  <c r="L91" i="5"/>
  <c r="L93" i="5" s="1"/>
  <c r="L95" i="5" s="1"/>
  <c r="L48" i="5"/>
  <c r="L50" i="5" s="1"/>
  <c r="M42" i="5"/>
  <c r="L79" i="5"/>
  <c r="L68" i="5"/>
  <c r="L69" i="5" s="1"/>
  <c r="L90" i="5"/>
  <c r="M54" i="5"/>
  <c r="M53" i="5"/>
  <c r="M47" i="5"/>
  <c r="M55" i="5"/>
  <c r="K77" i="4"/>
  <c r="K66" i="4"/>
  <c r="K67" i="4" s="1"/>
  <c r="L40" i="4"/>
  <c r="K88" i="4"/>
  <c r="L51" i="4"/>
  <c r="L52" i="4"/>
  <c r="L53" i="4"/>
  <c r="L45" i="4"/>
  <c r="L37" i="2"/>
  <c r="K76" i="2"/>
  <c r="L44" i="2"/>
  <c r="K65" i="2"/>
  <c r="R17" i="19" l="1"/>
  <c r="R20" i="19" s="1"/>
  <c r="O76" i="19" s="1"/>
  <c r="I66" i="21"/>
  <c r="I70" i="21" s="1"/>
  <c r="I10" i="25"/>
  <c r="J66" i="21"/>
  <c r="J70" i="21" s="1"/>
  <c r="J10" i="25"/>
  <c r="L66" i="21"/>
  <c r="L70" i="21" s="1"/>
  <c r="L10" i="25"/>
  <c r="M66" i="21"/>
  <c r="M70" i="21" s="1"/>
  <c r="M10" i="25"/>
  <c r="N66" i="21"/>
  <c r="N70" i="21" s="1"/>
  <c r="N10" i="25"/>
  <c r="O66" i="21"/>
  <c r="O10" i="25"/>
  <c r="K66" i="21"/>
  <c r="K70" i="21" s="1"/>
  <c r="K10" i="25"/>
  <c r="H66" i="21"/>
  <c r="H70" i="21" s="1"/>
  <c r="L64" i="22"/>
  <c r="L68" i="22" s="1"/>
  <c r="L9" i="25"/>
  <c r="J64" i="22"/>
  <c r="J68" i="22" s="1"/>
  <c r="J9" i="25"/>
  <c r="M64" i="22"/>
  <c r="M68" i="22" s="1"/>
  <c r="M9" i="25"/>
  <c r="O64" i="22"/>
  <c r="O9" i="25"/>
  <c r="K64" i="22"/>
  <c r="K68" i="22" s="1"/>
  <c r="K9" i="25"/>
  <c r="N64" i="22"/>
  <c r="N68" i="22" s="1"/>
  <c r="N9" i="25"/>
  <c r="I64" i="22"/>
  <c r="I68" i="22" s="1"/>
  <c r="I9" i="25"/>
  <c r="H64" i="22"/>
  <c r="H68" i="22" s="1"/>
  <c r="O64" i="20"/>
  <c r="O8" i="25"/>
  <c r="J64" i="20"/>
  <c r="J68" i="20" s="1"/>
  <c r="J8" i="25"/>
  <c r="L64" i="20"/>
  <c r="L68" i="20" s="1"/>
  <c r="L8" i="25"/>
  <c r="N64" i="20"/>
  <c r="N68" i="20" s="1"/>
  <c r="N8" i="25"/>
  <c r="I64" i="20"/>
  <c r="I68" i="20" s="1"/>
  <c r="I8" i="25"/>
  <c r="M64" i="20"/>
  <c r="M68" i="20" s="1"/>
  <c r="M8" i="25"/>
  <c r="K64" i="20"/>
  <c r="K68" i="20" s="1"/>
  <c r="K8" i="25"/>
  <c r="H64" i="20"/>
  <c r="H68" i="20" s="1"/>
  <c r="K7" i="24"/>
  <c r="L7" i="24"/>
  <c r="I7" i="24"/>
  <c r="M7" i="24"/>
  <c r="J7" i="24"/>
  <c r="G7" i="24"/>
  <c r="H21" i="25"/>
  <c r="G21" i="25"/>
  <c r="H26" i="25"/>
  <c r="G26" i="25"/>
  <c r="H18" i="25"/>
  <c r="G18" i="25"/>
  <c r="H20" i="25"/>
  <c r="G20" i="25"/>
  <c r="F7" i="24"/>
  <c r="L73" i="13"/>
  <c r="L73" i="24"/>
  <c r="L75" i="24" s="1"/>
  <c r="O66" i="23"/>
  <c r="H18" i="13"/>
  <c r="L66" i="23"/>
  <c r="J66" i="23"/>
  <c r="M66" i="23"/>
  <c r="K66" i="23"/>
  <c r="F17" i="13"/>
  <c r="F17" i="24"/>
  <c r="E17" i="24"/>
  <c r="N66" i="23"/>
  <c r="P68" i="22"/>
  <c r="O66" i="22"/>
  <c r="O67" i="22" s="1"/>
  <c r="P70" i="21"/>
  <c r="O68" i="21"/>
  <c r="O69" i="21" s="1"/>
  <c r="P68" i="20"/>
  <c r="O66" i="20"/>
  <c r="O67" i="20" s="1"/>
  <c r="F70" i="19"/>
  <c r="O7" i="13"/>
  <c r="P64" i="23"/>
  <c r="P66" i="23" s="1"/>
  <c r="H26" i="13"/>
  <c r="G21" i="13"/>
  <c r="H21" i="13"/>
  <c r="G20" i="13"/>
  <c r="H20" i="13"/>
  <c r="G26" i="13"/>
  <c r="G18" i="13"/>
  <c r="E17" i="13"/>
  <c r="M7" i="13"/>
  <c r="L75" i="13"/>
  <c r="M82" i="13" s="1"/>
  <c r="I66" i="23"/>
  <c r="G7" i="13"/>
  <c r="N7" i="13"/>
  <c r="I7" i="13"/>
  <c r="G27" i="23"/>
  <c r="R35" i="23"/>
  <c r="R36" i="23" s="1"/>
  <c r="K7" i="13"/>
  <c r="F7" i="13"/>
  <c r="G29" i="23"/>
  <c r="H66" i="23"/>
  <c r="G28" i="23"/>
  <c r="Q66" i="23"/>
  <c r="L7" i="13"/>
  <c r="H7" i="13"/>
  <c r="J7" i="13"/>
  <c r="G47" i="18"/>
  <c r="G66" i="18" s="1"/>
  <c r="P87" i="18" s="1"/>
  <c r="R35" i="19"/>
  <c r="R34" i="2"/>
  <c r="R24" i="22"/>
  <c r="G43" i="22"/>
  <c r="G64" i="22" s="1"/>
  <c r="G68" i="22" s="1"/>
  <c r="G37" i="22"/>
  <c r="R68" i="22"/>
  <c r="Q66" i="22"/>
  <c r="Q67" i="22" s="1"/>
  <c r="R24" i="21"/>
  <c r="G45" i="21"/>
  <c r="G66" i="21" s="1"/>
  <c r="G70" i="21" s="1"/>
  <c r="G39" i="21"/>
  <c r="R70" i="21"/>
  <c r="Q68" i="21"/>
  <c r="Q69" i="21" s="1"/>
  <c r="G43" i="20"/>
  <c r="G64" i="20" s="1"/>
  <c r="G68" i="20" s="1"/>
  <c r="G37" i="20"/>
  <c r="R24" i="20"/>
  <c r="R68" i="20"/>
  <c r="Q66" i="20"/>
  <c r="Q67" i="20" s="1"/>
  <c r="M55" i="11"/>
  <c r="P55" i="11"/>
  <c r="H55" i="11"/>
  <c r="N55" i="11"/>
  <c r="L55" i="11"/>
  <c r="O55" i="11"/>
  <c r="J55" i="11"/>
  <c r="Q55" i="11"/>
  <c r="K55" i="11"/>
  <c r="R55" i="11"/>
  <c r="I55" i="11"/>
  <c r="R22" i="11"/>
  <c r="M51" i="11"/>
  <c r="H51" i="11"/>
  <c r="K51" i="11"/>
  <c r="O51" i="11"/>
  <c r="R51" i="11"/>
  <c r="I51" i="11"/>
  <c r="N51" i="11"/>
  <c r="L51" i="11"/>
  <c r="P51" i="11"/>
  <c r="J51" i="11"/>
  <c r="Q51" i="11"/>
  <c r="R23" i="11"/>
  <c r="M52" i="11"/>
  <c r="H52" i="11"/>
  <c r="J52" i="11"/>
  <c r="R52" i="11"/>
  <c r="I52" i="11"/>
  <c r="P52" i="11"/>
  <c r="O52" i="11"/>
  <c r="Q52" i="11"/>
  <c r="K52" i="11"/>
  <c r="N52" i="11"/>
  <c r="L52" i="11"/>
  <c r="F69" i="18"/>
  <c r="R17" i="18"/>
  <c r="R20" i="18" s="1"/>
  <c r="O75" i="18" s="1"/>
  <c r="P77" i="19"/>
  <c r="P78" i="19" s="1"/>
  <c r="Q77" i="19"/>
  <c r="Q92" i="19" s="1"/>
  <c r="Q76" i="19"/>
  <c r="F12" i="17"/>
  <c r="R17" i="17"/>
  <c r="H54" i="17"/>
  <c r="H56" i="17" s="1"/>
  <c r="H58" i="17" s="1"/>
  <c r="H64" i="17" s="1"/>
  <c r="N54" i="17"/>
  <c r="N56" i="17" s="1"/>
  <c r="N58" i="17" s="1"/>
  <c r="N64" i="17" s="1"/>
  <c r="Q54" i="17"/>
  <c r="Q56" i="17" s="1"/>
  <c r="Q58" i="17" s="1"/>
  <c r="Q64" i="17" s="1"/>
  <c r="O9" i="24" s="1"/>
  <c r="I54" i="17"/>
  <c r="I56" i="17" s="1"/>
  <c r="I58" i="17" s="1"/>
  <c r="I64" i="17" s="1"/>
  <c r="O54" i="17"/>
  <c r="O56" i="17" s="1"/>
  <c r="O58" i="17" s="1"/>
  <c r="O64" i="17" s="1"/>
  <c r="M27" i="17"/>
  <c r="M29" i="17" s="1"/>
  <c r="M54" i="17"/>
  <c r="M56" i="17" s="1"/>
  <c r="M58" i="17" s="1"/>
  <c r="M64" i="17" s="1"/>
  <c r="J54" i="17"/>
  <c r="J56" i="17" s="1"/>
  <c r="J58" i="17" s="1"/>
  <c r="J64" i="17" s="1"/>
  <c r="H9" i="24" s="1"/>
  <c r="P54" i="17"/>
  <c r="P56" i="17" s="1"/>
  <c r="P58" i="17" s="1"/>
  <c r="P64" i="17" s="1"/>
  <c r="R54" i="17"/>
  <c r="R56" i="17" s="1"/>
  <c r="R58" i="17" s="1"/>
  <c r="R64" i="17" s="1"/>
  <c r="R68" i="17" s="1"/>
  <c r="K54" i="17"/>
  <c r="K56" i="17" s="1"/>
  <c r="K58" i="17" s="1"/>
  <c r="K64" i="17" s="1"/>
  <c r="L54" i="17"/>
  <c r="L56" i="17" s="1"/>
  <c r="L58" i="17" s="1"/>
  <c r="L64" i="17" s="1"/>
  <c r="L85" i="11"/>
  <c r="L74" i="11"/>
  <c r="L75" i="11" s="1"/>
  <c r="M40" i="11"/>
  <c r="M46" i="11"/>
  <c r="M48" i="11" s="1"/>
  <c r="M50" i="11" s="1"/>
  <c r="M91" i="5"/>
  <c r="M93" i="5" s="1"/>
  <c r="M95" i="5" s="1"/>
  <c r="M57" i="5"/>
  <c r="M48" i="5"/>
  <c r="M50" i="5" s="1"/>
  <c r="M68" i="5"/>
  <c r="M69" i="5" s="1"/>
  <c r="M79" i="5"/>
  <c r="N42" i="5"/>
  <c r="M90" i="5"/>
  <c r="N54" i="5"/>
  <c r="N47" i="5"/>
  <c r="N55" i="5"/>
  <c r="N53" i="5"/>
  <c r="M40" i="4"/>
  <c r="L88" i="4"/>
  <c r="L77" i="4"/>
  <c r="L66" i="4"/>
  <c r="L67" i="4" s="1"/>
  <c r="M53" i="4"/>
  <c r="M52" i="4"/>
  <c r="M45" i="4"/>
  <c r="M51" i="4"/>
  <c r="L89" i="4"/>
  <c r="L91" i="4" s="1"/>
  <c r="L93" i="4" s="1"/>
  <c r="L55" i="4"/>
  <c r="L46" i="4"/>
  <c r="L48" i="4" s="1"/>
  <c r="L76" i="2"/>
  <c r="M44" i="2"/>
  <c r="L65" i="2"/>
  <c r="M37" i="2"/>
  <c r="J77" i="19" l="1"/>
  <c r="J78" i="19" s="1"/>
  <c r="P90" i="19"/>
  <c r="I90" i="19"/>
  <c r="J90" i="19"/>
  <c r="H77" i="19"/>
  <c r="H78" i="19" s="1"/>
  <c r="Q90" i="19"/>
  <c r="N77" i="19"/>
  <c r="N78" i="19" s="1"/>
  <c r="M90" i="19"/>
  <c r="R90" i="19"/>
  <c r="O77" i="19"/>
  <c r="O78" i="19" s="1"/>
  <c r="M77" i="19"/>
  <c r="M78" i="19" s="1"/>
  <c r="N90" i="19"/>
  <c r="K90" i="19"/>
  <c r="I77" i="19"/>
  <c r="I78" i="19" s="1"/>
  <c r="L77" i="19"/>
  <c r="L78" i="19" s="1"/>
  <c r="H90" i="19"/>
  <c r="L90" i="19"/>
  <c r="R29" i="19"/>
  <c r="K77" i="19"/>
  <c r="K78" i="19" s="1"/>
  <c r="O90" i="19"/>
  <c r="M82" i="24"/>
  <c r="M9" i="24"/>
  <c r="J9" i="24"/>
  <c r="I9" i="24"/>
  <c r="N9" i="24"/>
  <c r="L9" i="24"/>
  <c r="K9" i="24"/>
  <c r="F63" i="25"/>
  <c r="G9" i="24"/>
  <c r="H19" i="25"/>
  <c r="H27" i="25" s="1"/>
  <c r="H33" i="25" s="1"/>
  <c r="G19" i="25"/>
  <c r="G27" i="25" s="1"/>
  <c r="G33" i="25" s="1"/>
  <c r="M9" i="13"/>
  <c r="J9" i="13"/>
  <c r="F63" i="24"/>
  <c r="I9" i="13"/>
  <c r="F18" i="13"/>
  <c r="E18" i="24"/>
  <c r="F18" i="24"/>
  <c r="L9" i="13"/>
  <c r="N9" i="13"/>
  <c r="F9" i="13"/>
  <c r="F9" i="24"/>
  <c r="K9" i="13"/>
  <c r="H9" i="13"/>
  <c r="H33" i="24"/>
  <c r="G33" i="24"/>
  <c r="O68" i="22"/>
  <c r="O70" i="21"/>
  <c r="O68" i="20"/>
  <c r="O9" i="13"/>
  <c r="P66" i="17"/>
  <c r="P67" i="17" s="1"/>
  <c r="G19" i="13"/>
  <c r="G27" i="13" s="1"/>
  <c r="G33" i="13" s="1"/>
  <c r="H19" i="13"/>
  <c r="H27" i="13" s="1"/>
  <c r="H33" i="13" s="1"/>
  <c r="E18" i="13"/>
  <c r="F63" i="13"/>
  <c r="G47" i="23"/>
  <c r="G66" i="23" s="1"/>
  <c r="H87" i="23" s="1"/>
  <c r="R17" i="23"/>
  <c r="F69" i="23"/>
  <c r="Q78" i="19"/>
  <c r="K87" i="18"/>
  <c r="G47" i="19"/>
  <c r="G67" i="19" s="1"/>
  <c r="I88" i="19" s="1"/>
  <c r="H87" i="18"/>
  <c r="F68" i="18"/>
  <c r="F72" i="18" s="1"/>
  <c r="R87" i="18"/>
  <c r="N87" i="18"/>
  <c r="J87" i="18"/>
  <c r="M87" i="18"/>
  <c r="F71" i="18"/>
  <c r="L87" i="18"/>
  <c r="F70" i="18"/>
  <c r="I87" i="18"/>
  <c r="Q87" i="18"/>
  <c r="O87" i="18"/>
  <c r="R30" i="19"/>
  <c r="Q29" i="19" s="1"/>
  <c r="R18" i="17"/>
  <c r="N68" i="17"/>
  <c r="O68" i="17"/>
  <c r="L68" i="17"/>
  <c r="I68" i="17"/>
  <c r="G9" i="13"/>
  <c r="J68" i="17"/>
  <c r="M68" i="17"/>
  <c r="K68" i="17"/>
  <c r="H68" i="17"/>
  <c r="Q68" i="22"/>
  <c r="G76" i="22"/>
  <c r="G80" i="22" s="1"/>
  <c r="G38" i="22"/>
  <c r="O77" i="22" s="1"/>
  <c r="R22" i="22"/>
  <c r="R23" i="22" s="1"/>
  <c r="Q70" i="21"/>
  <c r="G78" i="21"/>
  <c r="G82" i="21" s="1"/>
  <c r="G40" i="21"/>
  <c r="O79" i="21" s="1"/>
  <c r="R22" i="21"/>
  <c r="R23" i="21" s="1"/>
  <c r="M53" i="11"/>
  <c r="K53" i="11"/>
  <c r="J53" i="11"/>
  <c r="H53" i="11"/>
  <c r="L53" i="11"/>
  <c r="G76" i="20"/>
  <c r="G80" i="20" s="1"/>
  <c r="G38" i="20"/>
  <c r="O77" i="20" s="1"/>
  <c r="R22" i="20"/>
  <c r="R23" i="20" s="1"/>
  <c r="Q68" i="20"/>
  <c r="I53" i="11"/>
  <c r="M56" i="11"/>
  <c r="I56" i="11"/>
  <c r="Q56" i="11"/>
  <c r="O56" i="11"/>
  <c r="N56" i="11"/>
  <c r="K56" i="11"/>
  <c r="P56" i="11"/>
  <c r="R56" i="11"/>
  <c r="L56" i="11"/>
  <c r="H56" i="11"/>
  <c r="J56" i="11"/>
  <c r="M57" i="11"/>
  <c r="H57" i="11"/>
  <c r="K57" i="11"/>
  <c r="Q57" i="11"/>
  <c r="R57" i="11"/>
  <c r="J57" i="11"/>
  <c r="I57" i="11"/>
  <c r="L57" i="11"/>
  <c r="P57" i="11"/>
  <c r="O57" i="11"/>
  <c r="N57" i="11"/>
  <c r="L89" i="18"/>
  <c r="O89" i="18"/>
  <c r="R30" i="18"/>
  <c r="R28" i="18" s="1"/>
  <c r="S31" i="18" s="1"/>
  <c r="I89" i="18"/>
  <c r="P89" i="18"/>
  <c r="N89" i="18"/>
  <c r="Q89" i="18"/>
  <c r="K89" i="18"/>
  <c r="H89" i="18"/>
  <c r="M89" i="18"/>
  <c r="J89" i="18"/>
  <c r="R89" i="18"/>
  <c r="H76" i="18"/>
  <c r="H77" i="18" s="1"/>
  <c r="J76" i="18"/>
  <c r="J77" i="18" s="1"/>
  <c r="I76" i="18"/>
  <c r="I77" i="18" s="1"/>
  <c r="N76" i="18"/>
  <c r="N77" i="18" s="1"/>
  <c r="K76" i="18"/>
  <c r="K77" i="18" s="1"/>
  <c r="M76" i="18"/>
  <c r="M77" i="18" s="1"/>
  <c r="O76" i="18"/>
  <c r="O77" i="18" s="1"/>
  <c r="Q75" i="18"/>
  <c r="Q76" i="18"/>
  <c r="Q91" i="18" s="1"/>
  <c r="L76" i="18"/>
  <c r="L77" i="18" s="1"/>
  <c r="P76" i="18"/>
  <c r="P77" i="18" s="1"/>
  <c r="G75" i="19"/>
  <c r="Q79" i="19"/>
  <c r="H79" i="19"/>
  <c r="K92" i="19"/>
  <c r="K79" i="19"/>
  <c r="J92" i="19"/>
  <c r="J79" i="19"/>
  <c r="P92" i="19"/>
  <c r="P79" i="19"/>
  <c r="Q66" i="17"/>
  <c r="Q67" i="17" s="1"/>
  <c r="Q68" i="17" s="1"/>
  <c r="M85" i="11"/>
  <c r="M74" i="11"/>
  <c r="M75" i="11" s="1"/>
  <c r="N40" i="11"/>
  <c r="N46" i="11"/>
  <c r="N48" i="11" s="1"/>
  <c r="N50" i="11" s="1"/>
  <c r="N53" i="11" s="1"/>
  <c r="N91" i="5"/>
  <c r="N93" i="5" s="1"/>
  <c r="N95" i="5" s="1"/>
  <c r="N48" i="5"/>
  <c r="N50" i="5" s="1"/>
  <c r="N57" i="5"/>
  <c r="N90" i="5"/>
  <c r="O42" i="5"/>
  <c r="N79" i="5"/>
  <c r="N68" i="5"/>
  <c r="N69" i="5" s="1"/>
  <c r="O54" i="5"/>
  <c r="O55" i="5"/>
  <c r="O47" i="5"/>
  <c r="O53" i="5"/>
  <c r="M89" i="4"/>
  <c r="M91" i="4" s="1"/>
  <c r="M93" i="4" s="1"/>
  <c r="M55" i="4"/>
  <c r="M46" i="4"/>
  <c r="M48" i="4" s="1"/>
  <c r="N40" i="4"/>
  <c r="M77" i="4"/>
  <c r="M66" i="4"/>
  <c r="M67" i="4" s="1"/>
  <c r="M88" i="4"/>
  <c r="N53" i="4"/>
  <c r="N45" i="4"/>
  <c r="N52" i="4"/>
  <c r="N51" i="4"/>
  <c r="N44" i="2"/>
  <c r="M65" i="2"/>
  <c r="M76" i="2"/>
  <c r="N37" i="2"/>
  <c r="I92" i="19" l="1"/>
  <c r="L79" i="19"/>
  <c r="M92" i="19"/>
  <c r="M79" i="19"/>
  <c r="I79" i="19"/>
  <c r="O79" i="19"/>
  <c r="O92" i="19"/>
  <c r="N79" i="19"/>
  <c r="F82" i="19" s="1"/>
  <c r="N92" i="19"/>
  <c r="L92" i="19"/>
  <c r="H92" i="19"/>
  <c r="P10" i="26"/>
  <c r="Z10" i="26" s="1"/>
  <c r="F64" i="25"/>
  <c r="D64" i="25" s="1"/>
  <c r="L69" i="25"/>
  <c r="L70" i="25" s="1"/>
  <c r="M83" i="25" s="1"/>
  <c r="U11" i="26" s="1"/>
  <c r="F64" i="24"/>
  <c r="D64" i="24" s="1"/>
  <c r="G72" i="21"/>
  <c r="G76" i="21" s="1"/>
  <c r="G73" i="20"/>
  <c r="G70" i="22"/>
  <c r="G74" i="22" s="1"/>
  <c r="P68" i="17"/>
  <c r="G71" i="17" s="1"/>
  <c r="F70" i="23"/>
  <c r="F64" i="13"/>
  <c r="D64" i="13" s="1"/>
  <c r="I87" i="23"/>
  <c r="R30" i="23"/>
  <c r="R89" i="23"/>
  <c r="M89" i="23"/>
  <c r="J89" i="23"/>
  <c r="R20" i="23"/>
  <c r="P75" i="23" s="1"/>
  <c r="P89" i="23"/>
  <c r="H89" i="23"/>
  <c r="O89" i="23"/>
  <c r="Q89" i="23"/>
  <c r="L89" i="23"/>
  <c r="N89" i="23"/>
  <c r="K89" i="23"/>
  <c r="I89" i="23"/>
  <c r="O87" i="23"/>
  <c r="R87" i="23"/>
  <c r="F71" i="23"/>
  <c r="F68" i="23"/>
  <c r="F72" i="23" s="1"/>
  <c r="P87" i="23"/>
  <c r="N87" i="23"/>
  <c r="M87" i="23"/>
  <c r="L87" i="23"/>
  <c r="J87" i="23"/>
  <c r="K87" i="23"/>
  <c r="Q87" i="23"/>
  <c r="I58" i="11"/>
  <c r="I69" i="11" s="1"/>
  <c r="Q77" i="18"/>
  <c r="H88" i="19"/>
  <c r="G79" i="19"/>
  <c r="R89" i="19" s="1"/>
  <c r="O88" i="19"/>
  <c r="P88" i="19"/>
  <c r="F72" i="19"/>
  <c r="F69" i="19"/>
  <c r="F73" i="19" s="1"/>
  <c r="R88" i="19"/>
  <c r="K88" i="19"/>
  <c r="F71" i="19"/>
  <c r="Q88" i="19"/>
  <c r="N88" i="19"/>
  <c r="R28" i="19"/>
  <c r="L88" i="19"/>
  <c r="J88" i="19"/>
  <c r="M88" i="19"/>
  <c r="R19" i="17"/>
  <c r="G73" i="22"/>
  <c r="R31" i="18"/>
  <c r="G73" i="21"/>
  <c r="G74" i="21" s="1"/>
  <c r="G75" i="21"/>
  <c r="H78" i="22"/>
  <c r="I78" i="22"/>
  <c r="J78" i="22"/>
  <c r="K78" i="22"/>
  <c r="L78" i="22"/>
  <c r="M78" i="22"/>
  <c r="N78" i="22"/>
  <c r="O78" i="22"/>
  <c r="P78" i="22"/>
  <c r="Q77" i="22"/>
  <c r="Q78" i="22"/>
  <c r="G71" i="22"/>
  <c r="G72" i="22" s="1"/>
  <c r="K58" i="11"/>
  <c r="K69" i="11" s="1"/>
  <c r="G74" i="18"/>
  <c r="N92" i="18" s="1"/>
  <c r="H80" i="21"/>
  <c r="I80" i="21"/>
  <c r="J80" i="21"/>
  <c r="K80" i="21"/>
  <c r="L80" i="21"/>
  <c r="M80" i="21"/>
  <c r="N80" i="21"/>
  <c r="O80" i="21"/>
  <c r="P80" i="21"/>
  <c r="Q79" i="21"/>
  <c r="Q80" i="21"/>
  <c r="Q58" i="11"/>
  <c r="P58" i="11"/>
  <c r="G70" i="20"/>
  <c r="G74" i="20" s="1"/>
  <c r="O58" i="11"/>
  <c r="G71" i="20"/>
  <c r="G72" i="20" s="1"/>
  <c r="H78" i="20"/>
  <c r="I78" i="20"/>
  <c r="J78" i="20"/>
  <c r="K78" i="20"/>
  <c r="L78" i="20"/>
  <c r="M78" i="20"/>
  <c r="N78" i="20"/>
  <c r="O78" i="20"/>
  <c r="P78" i="20"/>
  <c r="Q77" i="20"/>
  <c r="Q78" i="20"/>
  <c r="J58" i="11"/>
  <c r="J69" i="11" s="1"/>
  <c r="N58" i="11"/>
  <c r="N69" i="11" s="1"/>
  <c r="R58" i="11"/>
  <c r="H58" i="11"/>
  <c r="H69" i="11" s="1"/>
  <c r="H11" i="25" s="1"/>
  <c r="L58" i="11"/>
  <c r="L69" i="11" s="1"/>
  <c r="M58" i="11"/>
  <c r="M69" i="11" s="1"/>
  <c r="Q78" i="18"/>
  <c r="O78" i="18"/>
  <c r="O91" i="18"/>
  <c r="M91" i="18"/>
  <c r="M78" i="18"/>
  <c r="K91" i="18"/>
  <c r="K78" i="18"/>
  <c r="N91" i="18"/>
  <c r="N78" i="18"/>
  <c r="P78" i="18"/>
  <c r="P91" i="18"/>
  <c r="I91" i="18"/>
  <c r="I78" i="18"/>
  <c r="L91" i="18"/>
  <c r="L78" i="18"/>
  <c r="J78" i="18"/>
  <c r="J91" i="18"/>
  <c r="H91" i="18"/>
  <c r="H78" i="18"/>
  <c r="Q93" i="19"/>
  <c r="P93" i="19"/>
  <c r="R93" i="19"/>
  <c r="O93" i="19"/>
  <c r="I93" i="19"/>
  <c r="K93" i="19"/>
  <c r="N93" i="19"/>
  <c r="H93" i="19"/>
  <c r="L93" i="19"/>
  <c r="J93" i="19"/>
  <c r="M93" i="19"/>
  <c r="N85" i="11"/>
  <c r="N74" i="11"/>
  <c r="N75" i="11" s="1"/>
  <c r="O40" i="11"/>
  <c r="O46" i="11"/>
  <c r="O48" i="11" s="1"/>
  <c r="O50" i="11" s="1"/>
  <c r="O53" i="11" s="1"/>
  <c r="O91" i="5"/>
  <c r="O93" i="5" s="1"/>
  <c r="O95" i="5" s="1"/>
  <c r="O57" i="5"/>
  <c r="O48" i="5"/>
  <c r="O50" i="5" s="1"/>
  <c r="P42" i="5"/>
  <c r="O79" i="5"/>
  <c r="O68" i="5"/>
  <c r="O69" i="5" s="1"/>
  <c r="O90" i="5"/>
  <c r="P54" i="5"/>
  <c r="P53" i="5"/>
  <c r="P55" i="5"/>
  <c r="P47" i="5"/>
  <c r="O40" i="4"/>
  <c r="N77" i="4"/>
  <c r="N66" i="4"/>
  <c r="N67" i="4" s="1"/>
  <c r="N88" i="4"/>
  <c r="O52" i="4"/>
  <c r="O51" i="4"/>
  <c r="O53" i="4"/>
  <c r="O45" i="4"/>
  <c r="N55" i="4"/>
  <c r="N89" i="4"/>
  <c r="N91" i="4" s="1"/>
  <c r="N93" i="4" s="1"/>
  <c r="N46" i="4"/>
  <c r="N48" i="4" s="1"/>
  <c r="O44" i="2"/>
  <c r="N65" i="2"/>
  <c r="N76" i="2"/>
  <c r="O37" i="2"/>
  <c r="J11" i="25" l="1"/>
  <c r="L64" i="25"/>
  <c r="L65" i="25" s="1"/>
  <c r="M81" i="25" s="1"/>
  <c r="U9" i="26" s="1"/>
  <c r="M11" i="25"/>
  <c r="N11" i="25"/>
  <c r="I11" i="25"/>
  <c r="L11" i="25"/>
  <c r="K11" i="25"/>
  <c r="F20" i="13"/>
  <c r="E20" i="24"/>
  <c r="F20" i="24"/>
  <c r="H11" i="13"/>
  <c r="E20" i="13"/>
  <c r="H76" i="23"/>
  <c r="K76" i="23"/>
  <c r="Q76" i="23"/>
  <c r="Q91" i="23" s="1"/>
  <c r="J76" i="23"/>
  <c r="Q75" i="23"/>
  <c r="I76" i="23"/>
  <c r="O76" i="23"/>
  <c r="P76" i="23"/>
  <c r="N76" i="23"/>
  <c r="M76" i="23"/>
  <c r="L76" i="23"/>
  <c r="G74" i="23"/>
  <c r="R28" i="23"/>
  <c r="Q28" i="19"/>
  <c r="Q79" i="22"/>
  <c r="I80" i="22"/>
  <c r="I79" i="22"/>
  <c r="J80" i="22"/>
  <c r="J79" i="22"/>
  <c r="P80" i="22"/>
  <c r="P79" i="22"/>
  <c r="H80" i="22"/>
  <c r="H79" i="22"/>
  <c r="O80" i="22"/>
  <c r="O79" i="22"/>
  <c r="N80" i="22"/>
  <c r="N79" i="22"/>
  <c r="M80" i="22"/>
  <c r="M79" i="22"/>
  <c r="L80" i="22"/>
  <c r="L79" i="22"/>
  <c r="K80" i="22"/>
  <c r="K79" i="22"/>
  <c r="L82" i="21"/>
  <c r="L81" i="21"/>
  <c r="K82" i="21"/>
  <c r="K81" i="21"/>
  <c r="Q81" i="21"/>
  <c r="J82" i="21"/>
  <c r="J81" i="21"/>
  <c r="I82" i="21"/>
  <c r="I81" i="21"/>
  <c r="P82" i="21"/>
  <c r="P81" i="21"/>
  <c r="H82" i="21"/>
  <c r="H81" i="21"/>
  <c r="O82" i="21"/>
  <c r="O81" i="21"/>
  <c r="Q79" i="20"/>
  <c r="N82" i="21"/>
  <c r="N81" i="21"/>
  <c r="M82" i="21"/>
  <c r="M81" i="21"/>
  <c r="L80" i="20"/>
  <c r="L79" i="20"/>
  <c r="K80" i="20"/>
  <c r="K79" i="20"/>
  <c r="J80" i="20"/>
  <c r="J79" i="20"/>
  <c r="I80" i="20"/>
  <c r="I79" i="20"/>
  <c r="P80" i="20"/>
  <c r="P79" i="20"/>
  <c r="H80" i="20"/>
  <c r="H79" i="20"/>
  <c r="O80" i="20"/>
  <c r="O79" i="20"/>
  <c r="N80" i="20"/>
  <c r="N79" i="20"/>
  <c r="M80" i="20"/>
  <c r="M79" i="20"/>
  <c r="N91" i="19"/>
  <c r="K89" i="19"/>
  <c r="F83" i="19"/>
  <c r="N89" i="19"/>
  <c r="P91" i="19"/>
  <c r="K91" i="19"/>
  <c r="J89" i="19"/>
  <c r="F81" i="19"/>
  <c r="F85" i="19" s="1"/>
  <c r="M91" i="19"/>
  <c r="O89" i="19"/>
  <c r="L89" i="19"/>
  <c r="F84" i="19"/>
  <c r="M89" i="19"/>
  <c r="J91" i="19"/>
  <c r="Q89" i="19"/>
  <c r="I91" i="19"/>
  <c r="H91" i="19"/>
  <c r="I89" i="19"/>
  <c r="H89" i="19"/>
  <c r="Q91" i="19"/>
  <c r="O91" i="19"/>
  <c r="P89" i="19"/>
  <c r="L91" i="19"/>
  <c r="Q28" i="18"/>
  <c r="G43" i="17"/>
  <c r="G64" i="17" s="1"/>
  <c r="G68" i="17" s="1"/>
  <c r="G70" i="17" s="1"/>
  <c r="G74" i="17" s="1"/>
  <c r="R24" i="17"/>
  <c r="G37" i="17"/>
  <c r="J72" i="11"/>
  <c r="J76" i="11" s="1"/>
  <c r="J11" i="13"/>
  <c r="M72" i="11"/>
  <c r="M76" i="11" s="1"/>
  <c r="M11" i="13"/>
  <c r="L72" i="11"/>
  <c r="L76" i="11" s="1"/>
  <c r="L11" i="13"/>
  <c r="N72" i="11"/>
  <c r="N76" i="11" s="1"/>
  <c r="N11" i="13"/>
  <c r="K72" i="11"/>
  <c r="K76" i="11" s="1"/>
  <c r="K11" i="13"/>
  <c r="I72" i="11"/>
  <c r="I76" i="11" s="1"/>
  <c r="I11" i="13"/>
  <c r="H72" i="11"/>
  <c r="H76" i="11" s="1"/>
  <c r="Q29" i="18"/>
  <c r="Q30" i="18"/>
  <c r="Q80" i="22"/>
  <c r="O92" i="18"/>
  <c r="J92" i="18"/>
  <c r="G78" i="18"/>
  <c r="R88" i="18" s="1"/>
  <c r="H92" i="18"/>
  <c r="I92" i="18"/>
  <c r="L92" i="18"/>
  <c r="O69" i="11"/>
  <c r="P92" i="18"/>
  <c r="Q92" i="18"/>
  <c r="R92" i="18"/>
  <c r="M92" i="18"/>
  <c r="K92" i="18"/>
  <c r="Q82" i="21"/>
  <c r="Q80" i="20"/>
  <c r="F81" i="18"/>
  <c r="P40" i="11"/>
  <c r="P46" i="11"/>
  <c r="P48" i="11" s="1"/>
  <c r="P50" i="11" s="1"/>
  <c r="P53" i="11" s="1"/>
  <c r="P69" i="11" s="1"/>
  <c r="Q42" i="5"/>
  <c r="P90" i="5"/>
  <c r="Q55" i="5"/>
  <c r="Q53" i="5"/>
  <c r="Q47" i="5"/>
  <c r="Q54" i="5"/>
  <c r="P57" i="5"/>
  <c r="P91" i="5"/>
  <c r="P93" i="5" s="1"/>
  <c r="P95" i="5" s="1"/>
  <c r="P48" i="5"/>
  <c r="P50" i="5" s="1"/>
  <c r="O77" i="4"/>
  <c r="O66" i="4"/>
  <c r="O67" i="4" s="1"/>
  <c r="O88" i="4"/>
  <c r="P40" i="4"/>
  <c r="P53" i="4"/>
  <c r="P45" i="4"/>
  <c r="P52" i="4"/>
  <c r="P51" i="4"/>
  <c r="O55" i="4"/>
  <c r="O89" i="4"/>
  <c r="O91" i="4" s="1"/>
  <c r="O93" i="4" s="1"/>
  <c r="O46" i="4"/>
  <c r="O48" i="4" s="1"/>
  <c r="P37" i="2"/>
  <c r="P44" i="2"/>
  <c r="O65" i="2"/>
  <c r="O76" i="2"/>
  <c r="J36" i="25" l="1"/>
  <c r="N36" i="25"/>
  <c r="L36" i="25"/>
  <c r="K36" i="25"/>
  <c r="M36" i="25"/>
  <c r="H36" i="25"/>
  <c r="I36" i="25"/>
  <c r="F66" i="25"/>
  <c r="D66" i="25" s="1"/>
  <c r="O11" i="25"/>
  <c r="F66" i="24"/>
  <c r="D66" i="24" s="1"/>
  <c r="F66" i="13"/>
  <c r="D66" i="13" s="1"/>
  <c r="O78" i="23"/>
  <c r="O77" i="23"/>
  <c r="O91" i="23"/>
  <c r="I77" i="23"/>
  <c r="I78" i="23"/>
  <c r="I91" i="23"/>
  <c r="K92" i="23"/>
  <c r="N92" i="23"/>
  <c r="M92" i="23"/>
  <c r="R92" i="23"/>
  <c r="P92" i="23"/>
  <c r="G78" i="23"/>
  <c r="L92" i="23"/>
  <c r="Q92" i="23"/>
  <c r="O92" i="23"/>
  <c r="J92" i="23"/>
  <c r="H92" i="23"/>
  <c r="I92" i="23"/>
  <c r="J77" i="23"/>
  <c r="J91" i="23"/>
  <c r="J78" i="23"/>
  <c r="Q77" i="23"/>
  <c r="Q78" i="23"/>
  <c r="L91" i="23"/>
  <c r="L78" i="23"/>
  <c r="L77" i="23"/>
  <c r="M77" i="23"/>
  <c r="M91" i="23"/>
  <c r="M78" i="23"/>
  <c r="K77" i="23"/>
  <c r="K78" i="23"/>
  <c r="K91" i="23"/>
  <c r="N77" i="23"/>
  <c r="N91" i="23"/>
  <c r="N78" i="23"/>
  <c r="H77" i="23"/>
  <c r="H91" i="23"/>
  <c r="H78" i="23"/>
  <c r="S31" i="23"/>
  <c r="R31" i="23"/>
  <c r="P77" i="23"/>
  <c r="P91" i="23"/>
  <c r="P78" i="23"/>
  <c r="G85" i="21"/>
  <c r="G86" i="21" s="1"/>
  <c r="G83" i="22"/>
  <c r="G84" i="22" s="1"/>
  <c r="G83" i="20"/>
  <c r="G84" i="20" s="1"/>
  <c r="O72" i="11"/>
  <c r="O11" i="13"/>
  <c r="G72" i="17"/>
  <c r="G73" i="17"/>
  <c r="R22" i="17"/>
  <c r="R23" i="17" s="1"/>
  <c r="G38" i="17"/>
  <c r="P77" i="17" s="1"/>
  <c r="G76" i="17"/>
  <c r="G80" i="17" s="1"/>
  <c r="Q31" i="18"/>
  <c r="G85" i="22"/>
  <c r="G82" i="22"/>
  <c r="G86" i="22" s="1"/>
  <c r="N90" i="18"/>
  <c r="P90" i="18"/>
  <c r="J88" i="18"/>
  <c r="K88" i="18"/>
  <c r="N88" i="18"/>
  <c r="K90" i="18"/>
  <c r="P88" i="18"/>
  <c r="L90" i="18"/>
  <c r="H88" i="18"/>
  <c r="L88" i="18"/>
  <c r="F82" i="18"/>
  <c r="O90" i="18"/>
  <c r="F83" i="18"/>
  <c r="O88" i="18"/>
  <c r="F80" i="18"/>
  <c r="F84" i="18" s="1"/>
  <c r="H90" i="18"/>
  <c r="M90" i="18"/>
  <c r="M88" i="18"/>
  <c r="I90" i="18"/>
  <c r="I88" i="18"/>
  <c r="J90" i="18"/>
  <c r="G87" i="21"/>
  <c r="Q88" i="18"/>
  <c r="Q90" i="18"/>
  <c r="G84" i="21"/>
  <c r="G88" i="21" s="1"/>
  <c r="G85" i="20"/>
  <c r="G82" i="20"/>
  <c r="G86" i="20" s="1"/>
  <c r="Q40" i="11"/>
  <c r="P72" i="11"/>
  <c r="O74" i="11" s="1"/>
  <c r="O75" i="11" s="1"/>
  <c r="Q46" i="11"/>
  <c r="Q48" i="11" s="1"/>
  <c r="Q50" i="11" s="1"/>
  <c r="Q53" i="11" s="1"/>
  <c r="Q69" i="11" s="1"/>
  <c r="P85" i="11"/>
  <c r="P74" i="11"/>
  <c r="P75" i="11" s="1"/>
  <c r="Q91" i="5"/>
  <c r="Q93" i="5" s="1"/>
  <c r="Q95" i="5" s="1"/>
  <c r="Q57" i="5"/>
  <c r="Q48" i="5"/>
  <c r="Q50" i="5" s="1"/>
  <c r="Q90" i="5"/>
  <c r="R42" i="5"/>
  <c r="R47" i="5"/>
  <c r="R53" i="5"/>
  <c r="R54" i="5"/>
  <c r="R55" i="5"/>
  <c r="P88" i="4"/>
  <c r="Q40" i="4"/>
  <c r="Q53" i="4"/>
  <c r="Q52" i="4"/>
  <c r="Q51" i="4"/>
  <c r="Q45" i="4"/>
  <c r="P89" i="4"/>
  <c r="P91" i="4" s="1"/>
  <c r="P93" i="4" s="1"/>
  <c r="P55" i="4"/>
  <c r="P46" i="4"/>
  <c r="P48" i="4" s="1"/>
  <c r="Q37" i="2"/>
  <c r="Q44" i="2"/>
  <c r="O76" i="11" l="1"/>
  <c r="K88" i="23"/>
  <c r="K90" i="23"/>
  <c r="Q90" i="23"/>
  <c r="Q88" i="23"/>
  <c r="M88" i="23"/>
  <c r="M90" i="23"/>
  <c r="J88" i="23"/>
  <c r="J90" i="23"/>
  <c r="I90" i="23"/>
  <c r="I88" i="23"/>
  <c r="R88" i="23"/>
  <c r="F83" i="23"/>
  <c r="F80" i="23"/>
  <c r="F84" i="23" s="1"/>
  <c r="P88" i="23"/>
  <c r="P90" i="23"/>
  <c r="N90" i="23"/>
  <c r="N88" i="23"/>
  <c r="Q28" i="23"/>
  <c r="Q30" i="23"/>
  <c r="Q29" i="23"/>
  <c r="H88" i="23"/>
  <c r="H90" i="23"/>
  <c r="F81" i="23"/>
  <c r="F82" i="23" s="1"/>
  <c r="L88" i="23"/>
  <c r="L90" i="23"/>
  <c r="O88" i="23"/>
  <c r="O90" i="23"/>
  <c r="K78" i="17"/>
  <c r="L78" i="17"/>
  <c r="M78" i="17"/>
  <c r="N78" i="17"/>
  <c r="O78" i="17"/>
  <c r="P78" i="17"/>
  <c r="Q77" i="17"/>
  <c r="J78" i="17"/>
  <c r="H78" i="17"/>
  <c r="I78" i="17"/>
  <c r="Q78" i="17"/>
  <c r="P76" i="11"/>
  <c r="Q72" i="11"/>
  <c r="R46" i="11"/>
  <c r="R48" i="11" s="1"/>
  <c r="R50" i="11" s="1"/>
  <c r="R53" i="11" s="1"/>
  <c r="R69" i="11" s="1"/>
  <c r="R40" i="11"/>
  <c r="R76" i="11" s="1"/>
  <c r="R90" i="5"/>
  <c r="R82" i="5"/>
  <c r="R80" i="5"/>
  <c r="R79" i="5"/>
  <c r="R68" i="5"/>
  <c r="R69" i="5" s="1"/>
  <c r="R91" i="5"/>
  <c r="R93" i="5" s="1"/>
  <c r="R95" i="5" s="1"/>
  <c r="G63" i="5" s="1"/>
  <c r="R48" i="5"/>
  <c r="R50" i="5" s="1"/>
  <c r="R57" i="5"/>
  <c r="R40" i="4"/>
  <c r="Q88" i="4"/>
  <c r="R53" i="4"/>
  <c r="R52" i="4"/>
  <c r="R45" i="4"/>
  <c r="R51" i="4"/>
  <c r="Q46" i="4"/>
  <c r="Q48" i="4" s="1"/>
  <c r="Q89" i="4"/>
  <c r="Q91" i="4" s="1"/>
  <c r="Q93" i="4" s="1"/>
  <c r="Q55" i="4"/>
  <c r="R37" i="2"/>
  <c r="R44" i="2"/>
  <c r="Q31" i="23" l="1"/>
  <c r="Q79" i="17"/>
  <c r="P80" i="17"/>
  <c r="P79" i="17"/>
  <c r="O80" i="17"/>
  <c r="O79" i="17"/>
  <c r="J80" i="17"/>
  <c r="J79" i="17"/>
  <c r="N80" i="17"/>
  <c r="N79" i="17"/>
  <c r="M80" i="17"/>
  <c r="M79" i="17"/>
  <c r="I80" i="17"/>
  <c r="I79" i="17"/>
  <c r="L80" i="17"/>
  <c r="L79" i="17"/>
  <c r="H80" i="17"/>
  <c r="H79" i="17"/>
  <c r="K80" i="17"/>
  <c r="K79" i="17"/>
  <c r="Q80" i="17"/>
  <c r="G10" i="5"/>
  <c r="R72" i="11"/>
  <c r="R86" i="11"/>
  <c r="R85" i="11"/>
  <c r="R74" i="11"/>
  <c r="R75" i="11" s="1"/>
  <c r="R88" i="11"/>
  <c r="R78" i="4"/>
  <c r="R77" i="4"/>
  <c r="R66" i="4"/>
  <c r="R67" i="4" s="1"/>
  <c r="R88" i="4"/>
  <c r="R80" i="4"/>
  <c r="R55" i="4"/>
  <c r="R89" i="4"/>
  <c r="R91" i="4" s="1"/>
  <c r="R93" i="4" s="1"/>
  <c r="G61" i="4" s="1"/>
  <c r="G10" i="4" s="1"/>
  <c r="R46" i="4"/>
  <c r="R48" i="4" s="1"/>
  <c r="R76" i="2"/>
  <c r="R77" i="2"/>
  <c r="R92" i="2"/>
  <c r="R67" i="2"/>
  <c r="R91" i="2"/>
  <c r="R65" i="2"/>
  <c r="G82" i="17" l="1"/>
  <c r="G86" i="17" s="1"/>
  <c r="G85" i="17"/>
  <c r="G83" i="17"/>
  <c r="G84" i="17" s="1"/>
  <c r="G12" i="5"/>
  <c r="M25" i="5" s="1"/>
  <c r="G12" i="4"/>
  <c r="Q74" i="11"/>
  <c r="R79" i="2"/>
  <c r="M25" i="4" l="1"/>
  <c r="J54" i="4" s="1"/>
  <c r="J56" i="4" s="1"/>
  <c r="J58" i="4" s="1"/>
  <c r="H8" i="24" s="1"/>
  <c r="F12" i="5"/>
  <c r="F12" i="4"/>
  <c r="R17" i="4"/>
  <c r="R18" i="4" s="1"/>
  <c r="K56" i="5"/>
  <c r="K58" i="5" s="1"/>
  <c r="K60" i="5" s="1"/>
  <c r="K66" i="5" s="1"/>
  <c r="L56" i="5"/>
  <c r="L58" i="5" s="1"/>
  <c r="L60" i="5" s="1"/>
  <c r="L66" i="5" s="1"/>
  <c r="M56" i="5"/>
  <c r="M58" i="5" s="1"/>
  <c r="M60" i="5" s="1"/>
  <c r="M66" i="5" s="1"/>
  <c r="M27" i="5"/>
  <c r="M29" i="5" s="1"/>
  <c r="N56" i="5"/>
  <c r="N58" i="5" s="1"/>
  <c r="N60" i="5" s="1"/>
  <c r="N66" i="5" s="1"/>
  <c r="H56" i="5"/>
  <c r="H58" i="5" s="1"/>
  <c r="H60" i="5" s="1"/>
  <c r="H66" i="5" s="1"/>
  <c r="O56" i="5"/>
  <c r="O58" i="5" s="1"/>
  <c r="O60" i="5" s="1"/>
  <c r="O66" i="5" s="1"/>
  <c r="P56" i="5"/>
  <c r="P58" i="5" s="1"/>
  <c r="P60" i="5" s="1"/>
  <c r="P66" i="5" s="1"/>
  <c r="Q56" i="5"/>
  <c r="Q58" i="5" s="1"/>
  <c r="Q60" i="5" s="1"/>
  <c r="Q66" i="5" s="1"/>
  <c r="O10" i="24" s="1"/>
  <c r="I56" i="5"/>
  <c r="I58" i="5" s="1"/>
  <c r="I60" i="5" s="1"/>
  <c r="I66" i="5" s="1"/>
  <c r="J56" i="5"/>
  <c r="J58" i="5" s="1"/>
  <c r="J60" i="5" s="1"/>
  <c r="J66" i="5" s="1"/>
  <c r="H10" i="24" s="1"/>
  <c r="R56" i="5"/>
  <c r="R58" i="5" s="1"/>
  <c r="R60" i="5" s="1"/>
  <c r="R66" i="5" s="1"/>
  <c r="R17" i="5"/>
  <c r="R18" i="5" s="1"/>
  <c r="Q75" i="11"/>
  <c r="Q76" i="11" s="1"/>
  <c r="K10" i="24" l="1"/>
  <c r="J10" i="24"/>
  <c r="I10" i="24"/>
  <c r="N10" i="24"/>
  <c r="M10" i="24"/>
  <c r="L10" i="24"/>
  <c r="G10" i="24"/>
  <c r="H10" i="13"/>
  <c r="K10" i="13"/>
  <c r="I10" i="13"/>
  <c r="N10" i="13"/>
  <c r="F26" i="24"/>
  <c r="E26" i="24"/>
  <c r="M10" i="13"/>
  <c r="J10" i="13"/>
  <c r="F10" i="13"/>
  <c r="F10" i="24"/>
  <c r="L10" i="13"/>
  <c r="H8" i="13"/>
  <c r="O10" i="13"/>
  <c r="P68" i="5"/>
  <c r="P69" i="5" s="1"/>
  <c r="F26" i="13"/>
  <c r="E26" i="13"/>
  <c r="H54" i="4"/>
  <c r="H56" i="4" s="1"/>
  <c r="H58" i="4" s="1"/>
  <c r="N54" i="4"/>
  <c r="N56" i="4" s="1"/>
  <c r="N58" i="4" s="1"/>
  <c r="I54" i="4"/>
  <c r="I56" i="4" s="1"/>
  <c r="I58" i="4" s="1"/>
  <c r="Q54" i="4"/>
  <c r="Q56" i="4" s="1"/>
  <c r="Q58" i="4" s="1"/>
  <c r="O8" i="24" s="1"/>
  <c r="M54" i="4"/>
  <c r="M56" i="4" s="1"/>
  <c r="M58" i="4" s="1"/>
  <c r="R54" i="4"/>
  <c r="R56" i="4" s="1"/>
  <c r="R58" i="4" s="1"/>
  <c r="R64" i="4" s="1"/>
  <c r="R68" i="4" s="1"/>
  <c r="M27" i="4"/>
  <c r="M29" i="4" s="1"/>
  <c r="P54" i="4"/>
  <c r="P56" i="4" s="1"/>
  <c r="P58" i="4" s="1"/>
  <c r="L54" i="4"/>
  <c r="L56" i="4" s="1"/>
  <c r="L58" i="4" s="1"/>
  <c r="O54" i="4"/>
  <c r="O56" i="4" s="1"/>
  <c r="O58" i="4" s="1"/>
  <c r="K54" i="4"/>
  <c r="K56" i="4" s="1"/>
  <c r="K58" i="4" s="1"/>
  <c r="J70" i="5"/>
  <c r="M70" i="5"/>
  <c r="I70" i="5"/>
  <c r="G10" i="13"/>
  <c r="L70" i="5"/>
  <c r="N70" i="5"/>
  <c r="K70" i="5"/>
  <c r="O70" i="5"/>
  <c r="H70" i="5"/>
  <c r="J64" i="4"/>
  <c r="J68" i="4" s="1"/>
  <c r="Q68" i="5"/>
  <c r="Q69" i="5" s="1"/>
  <c r="Q70" i="5" s="1"/>
  <c r="R70" i="5"/>
  <c r="G79" i="11"/>
  <c r="L8" i="24" l="1"/>
  <c r="J8" i="24"/>
  <c r="N8" i="24"/>
  <c r="K8" i="24"/>
  <c r="M8" i="24"/>
  <c r="I8" i="24"/>
  <c r="F77" i="24"/>
  <c r="G85" i="24" s="1"/>
  <c r="F77" i="25"/>
  <c r="G85" i="25" s="1"/>
  <c r="U22" i="26" s="1"/>
  <c r="N8" i="13"/>
  <c r="K8" i="13"/>
  <c r="P70" i="5"/>
  <c r="G73" i="5" s="1"/>
  <c r="I8" i="13"/>
  <c r="G8" i="13"/>
  <c r="G8" i="24"/>
  <c r="L8" i="13"/>
  <c r="M8" i="13"/>
  <c r="J8" i="13"/>
  <c r="F8" i="13"/>
  <c r="F8" i="24"/>
  <c r="F77" i="13"/>
  <c r="Q64" i="4"/>
  <c r="P66" i="4" s="1"/>
  <c r="P67" i="4" s="1"/>
  <c r="O8" i="13"/>
  <c r="I64" i="4"/>
  <c r="I68" i="4" s="1"/>
  <c r="N64" i="4"/>
  <c r="N68" i="4" s="1"/>
  <c r="P64" i="4"/>
  <c r="H64" i="4"/>
  <c r="H68" i="4" s="1"/>
  <c r="Q66" i="4"/>
  <c r="Q67" i="4" s="1"/>
  <c r="L64" i="4"/>
  <c r="L68" i="4" s="1"/>
  <c r="K64" i="4"/>
  <c r="K68" i="4" s="1"/>
  <c r="O64" i="4"/>
  <c r="O68" i="4" s="1"/>
  <c r="M64" i="4"/>
  <c r="M68" i="4" s="1"/>
  <c r="P22" i="26" l="1"/>
  <c r="Z22" i="26" s="1"/>
  <c r="P68" i="4"/>
  <c r="Q68" i="4"/>
  <c r="G20" i="2"/>
  <c r="G17" i="2" s="1"/>
  <c r="M46" i="24" l="1"/>
  <c r="N46" i="24"/>
  <c r="D63" i="24" s="1"/>
  <c r="L46" i="24"/>
  <c r="K46" i="24"/>
  <c r="J46" i="24"/>
  <c r="D63" i="25"/>
  <c r="I46" i="24"/>
  <c r="G71" i="4"/>
  <c r="M46" i="13"/>
  <c r="N46" i="13"/>
  <c r="L46" i="13"/>
  <c r="K46" i="13"/>
  <c r="J46" i="13"/>
  <c r="I46" i="13"/>
  <c r="N24" i="2"/>
  <c r="M24" i="2"/>
  <c r="I50" i="2"/>
  <c r="Q50" i="2"/>
  <c r="J50" i="2"/>
  <c r="R50" i="2"/>
  <c r="K50" i="2"/>
  <c r="L50" i="2"/>
  <c r="M50" i="2"/>
  <c r="N50" i="2"/>
  <c r="O50" i="2"/>
  <c r="P50" i="2"/>
  <c r="F12" i="2"/>
  <c r="L52" i="2"/>
  <c r="N51" i="2"/>
  <c r="O51" i="2"/>
  <c r="M52" i="2"/>
  <c r="P51" i="2"/>
  <c r="N52" i="2"/>
  <c r="I51" i="2"/>
  <c r="Q51" i="2"/>
  <c r="O52" i="2"/>
  <c r="J51" i="2"/>
  <c r="R51" i="2"/>
  <c r="P52" i="2"/>
  <c r="K51" i="2"/>
  <c r="I52" i="2"/>
  <c r="Q52" i="2"/>
  <c r="L51" i="2"/>
  <c r="J52" i="2"/>
  <c r="R52" i="2"/>
  <c r="M51" i="2"/>
  <c r="K52" i="2"/>
  <c r="D63" i="13" l="1"/>
  <c r="G39" i="2"/>
  <c r="G41" i="2"/>
  <c r="G40" i="2"/>
  <c r="H41" i="2"/>
  <c r="H40" i="2"/>
  <c r="H39" i="2"/>
  <c r="I39" i="2"/>
  <c r="I41" i="2"/>
  <c r="I40" i="2"/>
  <c r="J39" i="2"/>
  <c r="K41" i="2"/>
  <c r="J41" i="2"/>
  <c r="K40" i="2"/>
  <c r="J40" i="2"/>
  <c r="K39" i="2"/>
  <c r="L41" i="2"/>
  <c r="L40" i="2"/>
  <c r="L39" i="2"/>
  <c r="M41" i="2"/>
  <c r="M39" i="2"/>
  <c r="M40" i="2"/>
  <c r="N41" i="2"/>
  <c r="N39" i="2"/>
  <c r="N40" i="2"/>
  <c r="O41" i="2"/>
  <c r="O40" i="2"/>
  <c r="O39" i="2"/>
  <c r="P40" i="2"/>
  <c r="P41" i="2"/>
  <c r="P39" i="2"/>
  <c r="Q41" i="2"/>
  <c r="Q40" i="2"/>
  <c r="Q39" i="2"/>
  <c r="R39" i="2"/>
  <c r="R40" i="2"/>
  <c r="R41" i="2"/>
  <c r="L57" i="2"/>
  <c r="J57" i="2"/>
  <c r="R57" i="2"/>
  <c r="N57" i="2"/>
  <c r="M57" i="2"/>
  <c r="Q57" i="2"/>
  <c r="J54" i="2"/>
  <c r="J55" i="2" s="1"/>
  <c r="R54" i="2"/>
  <c r="R55" i="2" s="1"/>
  <c r="K54" i="2"/>
  <c r="K55" i="2" s="1"/>
  <c r="L54" i="2"/>
  <c r="L55" i="2" s="1"/>
  <c r="M54" i="2"/>
  <c r="M55" i="2" s="1"/>
  <c r="N54" i="2"/>
  <c r="N55" i="2" s="1"/>
  <c r="O54" i="2"/>
  <c r="O55" i="2" s="1"/>
  <c r="H54" i="2"/>
  <c r="P54" i="2"/>
  <c r="P55" i="2" s="1"/>
  <c r="I54" i="2"/>
  <c r="I55" i="2" s="1"/>
  <c r="Q54" i="2"/>
  <c r="Q55" i="2" s="1"/>
  <c r="K57" i="2"/>
  <c r="I57" i="2"/>
  <c r="P57" i="2"/>
  <c r="O57" i="2"/>
  <c r="N42" i="2" l="1"/>
  <c r="H52" i="2"/>
  <c r="M42" i="2"/>
  <c r="L42" i="2"/>
  <c r="Q42" i="2"/>
  <c r="H51" i="2"/>
  <c r="O42" i="2"/>
  <c r="R42" i="2"/>
  <c r="J42" i="2"/>
  <c r="G42" i="2"/>
  <c r="H50" i="2"/>
  <c r="K42" i="2"/>
  <c r="I42" i="2"/>
  <c r="P42" i="2"/>
  <c r="H42" i="2"/>
  <c r="J58" i="2"/>
  <c r="J60" i="2" s="1"/>
  <c r="P58" i="2"/>
  <c r="P60" i="2" s="1"/>
  <c r="R58" i="2"/>
  <c r="R60" i="2" s="1"/>
  <c r="L58" i="2"/>
  <c r="L60" i="2" s="1"/>
  <c r="I58" i="2"/>
  <c r="I60" i="2" s="1"/>
  <c r="N58" i="2"/>
  <c r="N60" i="2" s="1"/>
  <c r="M58" i="2"/>
  <c r="M60" i="2" s="1"/>
  <c r="Q58" i="2"/>
  <c r="Q60" i="2" s="1"/>
  <c r="K58" i="2"/>
  <c r="K60" i="2" s="1"/>
  <c r="O58" i="2"/>
  <c r="O60" i="2" s="1"/>
  <c r="H57" i="2" l="1"/>
  <c r="H55" i="2"/>
  <c r="L62" i="2"/>
  <c r="R62" i="2"/>
  <c r="M62" i="2"/>
  <c r="N62" i="2"/>
  <c r="P62" i="2"/>
  <c r="I62" i="2"/>
  <c r="Q62" i="2"/>
  <c r="O62" i="2"/>
  <c r="K62" i="2"/>
  <c r="J62" i="2"/>
  <c r="H58" i="2" l="1"/>
  <c r="H60" i="2" s="1"/>
  <c r="R63" i="2"/>
  <c r="Q65" i="2" s="1"/>
  <c r="K63" i="2"/>
  <c r="I63" i="2"/>
  <c r="M63" i="2"/>
  <c r="P63" i="2"/>
  <c r="O63" i="2"/>
  <c r="Q63" i="2"/>
  <c r="O6" i="24" s="1"/>
  <c r="J63" i="2"/>
  <c r="H6" i="24" s="1"/>
  <c r="L63" i="2"/>
  <c r="N63" i="2"/>
  <c r="M12" i="25" l="1"/>
  <c r="M30" i="25" s="1"/>
  <c r="M6" i="24"/>
  <c r="M12" i="24" s="1"/>
  <c r="N12" i="25"/>
  <c r="N30" i="25" s="1"/>
  <c r="N6" i="24"/>
  <c r="N12" i="24" s="1"/>
  <c r="K12" i="25"/>
  <c r="K30" i="25" s="1"/>
  <c r="K6" i="24"/>
  <c r="K12" i="24" s="1"/>
  <c r="L12" i="25"/>
  <c r="L14" i="25" s="1"/>
  <c r="L6" i="24"/>
  <c r="L12" i="24" s="1"/>
  <c r="I12" i="25"/>
  <c r="I30" i="25" s="1"/>
  <c r="I6" i="24"/>
  <c r="I12" i="24" s="1"/>
  <c r="J12" i="25"/>
  <c r="J30" i="25" s="1"/>
  <c r="J6" i="24"/>
  <c r="J12" i="24" s="1"/>
  <c r="H12" i="25"/>
  <c r="H30" i="25" s="1"/>
  <c r="O12" i="24"/>
  <c r="O30" i="24" s="1"/>
  <c r="N31" i="24" s="1"/>
  <c r="N32" i="24" s="1"/>
  <c r="N13" i="24" s="1"/>
  <c r="O12" i="25"/>
  <c r="O30" i="25" s="1"/>
  <c r="N31" i="25" s="1"/>
  <c r="G6" i="24"/>
  <c r="G12" i="24" s="1"/>
  <c r="G14" i="24" s="1"/>
  <c r="N6" i="13"/>
  <c r="N12" i="13" s="1"/>
  <c r="N30" i="13" s="1"/>
  <c r="I6" i="13"/>
  <c r="I12" i="13" s="1"/>
  <c r="I30" i="13" s="1"/>
  <c r="M6" i="13"/>
  <c r="M12" i="13" s="1"/>
  <c r="M30" i="13" s="1"/>
  <c r="K6" i="13"/>
  <c r="K12" i="13" s="1"/>
  <c r="K14" i="13" s="1"/>
  <c r="J6" i="13"/>
  <c r="J12" i="13" s="1"/>
  <c r="J30" i="13" s="1"/>
  <c r="L6" i="13"/>
  <c r="L12" i="13" s="1"/>
  <c r="L14" i="13" s="1"/>
  <c r="H6" i="13"/>
  <c r="H12" i="13" s="1"/>
  <c r="H30" i="13" s="1"/>
  <c r="H12" i="24"/>
  <c r="O6" i="13"/>
  <c r="O12" i="13" s="1"/>
  <c r="O30" i="13" s="1"/>
  <c r="N31" i="13" s="1"/>
  <c r="P65" i="2"/>
  <c r="P67" i="2" s="1"/>
  <c r="I67" i="2"/>
  <c r="G6" i="13"/>
  <c r="G12" i="13" s="1"/>
  <c r="K67" i="2"/>
  <c r="M67" i="2"/>
  <c r="O67" i="2"/>
  <c r="N67" i="2"/>
  <c r="L67" i="2"/>
  <c r="J67" i="2"/>
  <c r="H62" i="2"/>
  <c r="Q67" i="2"/>
  <c r="G32" i="2"/>
  <c r="R35" i="2"/>
  <c r="K14" i="25" l="1"/>
  <c r="L30" i="25"/>
  <c r="L34" i="25" s="1"/>
  <c r="J14" i="25"/>
  <c r="I14" i="25"/>
  <c r="K30" i="13"/>
  <c r="K34" i="13" s="1"/>
  <c r="H14" i="25"/>
  <c r="M14" i="25"/>
  <c r="H14" i="13"/>
  <c r="G30" i="24"/>
  <c r="J40" i="24"/>
  <c r="J14" i="13"/>
  <c r="M34" i="25"/>
  <c r="G30" i="25"/>
  <c r="J34" i="25"/>
  <c r="K34" i="25"/>
  <c r="N32" i="25"/>
  <c r="N13" i="25" s="1"/>
  <c r="N14" i="25" s="1"/>
  <c r="J40" i="25"/>
  <c r="H34" i="25"/>
  <c r="I34" i="25"/>
  <c r="I14" i="13"/>
  <c r="L30" i="13"/>
  <c r="L34" i="13" s="1"/>
  <c r="M14" i="13"/>
  <c r="I30" i="24"/>
  <c r="I14" i="24"/>
  <c r="J30" i="24"/>
  <c r="J14" i="24"/>
  <c r="H30" i="24"/>
  <c r="H14" i="24"/>
  <c r="K14" i="24"/>
  <c r="K30" i="24"/>
  <c r="N30" i="24"/>
  <c r="N14" i="24"/>
  <c r="L14" i="24"/>
  <c r="L30" i="24"/>
  <c r="M30" i="24"/>
  <c r="M14" i="24"/>
  <c r="N32" i="13"/>
  <c r="N13" i="13" s="1"/>
  <c r="N14" i="13" s="1"/>
  <c r="I34" i="13"/>
  <c r="H34" i="13"/>
  <c r="J34" i="13"/>
  <c r="M34" i="13"/>
  <c r="G30" i="13"/>
  <c r="G14" i="13"/>
  <c r="J40" i="13"/>
  <c r="G47" i="2"/>
  <c r="G67" i="2" s="1"/>
  <c r="I88" i="2" s="1"/>
  <c r="H63" i="2"/>
  <c r="R30" i="2"/>
  <c r="G34" i="24" l="1"/>
  <c r="G34" i="25"/>
  <c r="N34" i="25"/>
  <c r="F30" i="25"/>
  <c r="L34" i="24"/>
  <c r="J34" i="24"/>
  <c r="F6" i="13"/>
  <c r="F12" i="13" s="1"/>
  <c r="F14" i="13" s="1"/>
  <c r="F6" i="24"/>
  <c r="F12" i="24" s="1"/>
  <c r="K34" i="24"/>
  <c r="I34" i="24"/>
  <c r="N34" i="24"/>
  <c r="M34" i="24"/>
  <c r="H34" i="24"/>
  <c r="G34" i="13"/>
  <c r="N34" i="13"/>
  <c r="L88" i="2"/>
  <c r="K88" i="2"/>
  <c r="R88" i="2"/>
  <c r="P88" i="2"/>
  <c r="M88" i="2"/>
  <c r="J88" i="2"/>
  <c r="Q88" i="2"/>
  <c r="N88" i="2"/>
  <c r="O88" i="2"/>
  <c r="G33" i="2"/>
  <c r="H67" i="2"/>
  <c r="G34" i="2"/>
  <c r="F30" i="24" l="1"/>
  <c r="F14" i="24"/>
  <c r="F30" i="13"/>
  <c r="F70" i="2"/>
  <c r="F71" i="2" s="1"/>
  <c r="H88" i="2"/>
  <c r="F72" i="2"/>
  <c r="F69" i="2"/>
  <c r="F73" i="2" s="1"/>
  <c r="R17" i="2"/>
  <c r="H90" i="2" l="1"/>
  <c r="N90" i="2"/>
  <c r="L90" i="2"/>
  <c r="M90" i="2"/>
  <c r="R90" i="2"/>
  <c r="I90" i="2"/>
  <c r="Q90" i="2"/>
  <c r="K90" i="2"/>
  <c r="J90" i="2"/>
  <c r="R29" i="2"/>
  <c r="O90" i="2"/>
  <c r="R20" i="2"/>
  <c r="P76" i="2" s="1"/>
  <c r="P90" i="2"/>
  <c r="L77" i="2" l="1"/>
  <c r="L78" i="2" s="1"/>
  <c r="Q76" i="2"/>
  <c r="P77" i="2"/>
  <c r="P78" i="2" s="1"/>
  <c r="H77" i="2"/>
  <c r="H78" i="2" s="1"/>
  <c r="M77" i="2"/>
  <c r="M78" i="2" s="1"/>
  <c r="N77" i="2"/>
  <c r="N78" i="2" s="1"/>
  <c r="O77" i="2"/>
  <c r="O78" i="2" s="1"/>
  <c r="I77" i="2"/>
  <c r="I78" i="2" s="1"/>
  <c r="J77" i="2"/>
  <c r="J78" i="2" s="1"/>
  <c r="K77" i="2"/>
  <c r="K78" i="2" s="1"/>
  <c r="Q77" i="2"/>
  <c r="Q92" i="2" s="1"/>
  <c r="R28" i="2"/>
  <c r="Q29" i="2"/>
  <c r="G75" i="2"/>
  <c r="Q28" i="2" l="1"/>
  <c r="Q78" i="2"/>
  <c r="Q79" i="2"/>
  <c r="O79" i="2"/>
  <c r="O92" i="2"/>
  <c r="J93" i="2"/>
  <c r="R93" i="2"/>
  <c r="N93" i="2"/>
  <c r="M93" i="2"/>
  <c r="H93" i="2"/>
  <c r="Q93" i="2"/>
  <c r="O93" i="2"/>
  <c r="L93" i="2"/>
  <c r="P93" i="2"/>
  <c r="G79" i="2"/>
  <c r="I93" i="2"/>
  <c r="K93" i="2"/>
  <c r="N79" i="2"/>
  <c r="N92" i="2"/>
  <c r="M79" i="2"/>
  <c r="M92" i="2"/>
  <c r="H92" i="2"/>
  <c r="H79" i="2"/>
  <c r="P92" i="2"/>
  <c r="P79" i="2"/>
  <c r="J79" i="2"/>
  <c r="J92" i="2"/>
  <c r="L92" i="2"/>
  <c r="L79" i="2"/>
  <c r="K79" i="2"/>
  <c r="K92" i="2"/>
  <c r="I92" i="2"/>
  <c r="I79" i="2"/>
  <c r="Q89" i="2" l="1"/>
  <c r="L89" i="2"/>
  <c r="I89" i="2"/>
  <c r="I91" i="2"/>
  <c r="N91" i="2"/>
  <c r="N89" i="2"/>
  <c r="L91" i="2"/>
  <c r="R89" i="2"/>
  <c r="F81" i="2"/>
  <c r="F85" i="2" s="1"/>
  <c r="Q91" i="2"/>
  <c r="F84" i="2"/>
  <c r="J89" i="2"/>
  <c r="J91" i="2"/>
  <c r="P89" i="2"/>
  <c r="P91" i="2"/>
  <c r="H91" i="2"/>
  <c r="H89" i="2"/>
  <c r="F82" i="2"/>
  <c r="F83" i="2" s="1"/>
  <c r="K89" i="2"/>
  <c r="K91" i="2"/>
  <c r="M89" i="2"/>
  <c r="M91" i="2"/>
  <c r="O89" i="2"/>
  <c r="O91" i="2"/>
  <c r="R19" i="4" l="1"/>
  <c r="G43" i="4" s="1"/>
  <c r="G64" i="4" l="1"/>
  <c r="G68" i="4" s="1"/>
  <c r="G37" i="4"/>
  <c r="G76" i="4" s="1"/>
  <c r="R24" i="4"/>
  <c r="F19" i="13" l="1"/>
  <c r="F19" i="24"/>
  <c r="E19" i="24"/>
  <c r="E19" i="13"/>
  <c r="G38" i="4"/>
  <c r="R22" i="4"/>
  <c r="G70" i="4"/>
  <c r="G74" i="4" s="1"/>
  <c r="G80" i="4"/>
  <c r="G72" i="4"/>
  <c r="G73" i="4"/>
  <c r="F65" i="13" l="1"/>
  <c r="D65" i="13" s="1"/>
  <c r="F65" i="25"/>
  <c r="F65" i="24"/>
  <c r="O78" i="4"/>
  <c r="O80" i="4" s="1"/>
  <c r="P77" i="4"/>
  <c r="R23" i="4"/>
  <c r="N78" i="4"/>
  <c r="Q78" i="4"/>
  <c r="L78" i="4"/>
  <c r="K78" i="4"/>
  <c r="J78" i="4"/>
  <c r="I78" i="4"/>
  <c r="P78" i="4"/>
  <c r="H78" i="4"/>
  <c r="H79" i="4" s="1"/>
  <c r="Q77" i="4"/>
  <c r="Q79" i="4" s="1"/>
  <c r="M78" i="4"/>
  <c r="D65" i="25" l="1"/>
  <c r="D65" i="24"/>
  <c r="O79" i="4"/>
  <c r="I80" i="4"/>
  <c r="I79" i="4"/>
  <c r="L80" i="4"/>
  <c r="L79" i="4"/>
  <c r="J80" i="4"/>
  <c r="J79" i="4"/>
  <c r="M80" i="4"/>
  <c r="M79" i="4"/>
  <c r="N80" i="4"/>
  <c r="N79" i="4"/>
  <c r="K80" i="4"/>
  <c r="K79" i="4"/>
  <c r="P80" i="4"/>
  <c r="P79" i="4"/>
  <c r="H80" i="4"/>
  <c r="Q80" i="4"/>
  <c r="R19" i="5"/>
  <c r="F33" i="25" l="1"/>
  <c r="F21" i="13"/>
  <c r="F27" i="13" s="1"/>
  <c r="F33" i="13" s="1"/>
  <c r="F21" i="24"/>
  <c r="F27" i="24" s="1"/>
  <c r="F33" i="24" s="1"/>
  <c r="E21" i="24"/>
  <c r="E21" i="13"/>
  <c r="G83" i="4"/>
  <c r="G84" i="4" s="1"/>
  <c r="G45" i="5"/>
  <c r="G85" i="4"/>
  <c r="G82" i="4"/>
  <c r="G86" i="4" s="1"/>
  <c r="R24" i="5"/>
  <c r="G39" i="5"/>
  <c r="F67" i="25" l="1"/>
  <c r="G82" i="25" s="1"/>
  <c r="U19" i="26" s="1"/>
  <c r="F34" i="25"/>
  <c r="F67" i="24"/>
  <c r="G82" i="24" s="1"/>
  <c r="E27" i="24"/>
  <c r="F34" i="24"/>
  <c r="F34" i="13"/>
  <c r="F67" i="13"/>
  <c r="F79" i="13" s="1"/>
  <c r="G80" i="13" s="1"/>
  <c r="L7" i="26" s="1"/>
  <c r="E27" i="13"/>
  <c r="G66" i="5"/>
  <c r="G70" i="5" s="1"/>
  <c r="R22" i="5"/>
  <c r="G40" i="5"/>
  <c r="P79" i="5" s="1"/>
  <c r="G78" i="5"/>
  <c r="P19" i="26" l="1"/>
  <c r="E33" i="25"/>
  <c r="D37" i="25"/>
  <c r="D67" i="25"/>
  <c r="F79" i="25"/>
  <c r="G80" i="25" s="1"/>
  <c r="H7" i="26" s="1"/>
  <c r="E33" i="24"/>
  <c r="D37" i="24"/>
  <c r="L68" i="24"/>
  <c r="L70" i="24" s="1"/>
  <c r="M83" i="24" s="1"/>
  <c r="D67" i="24"/>
  <c r="F79" i="24"/>
  <c r="D67" i="13"/>
  <c r="E33" i="13"/>
  <c r="D37" i="13"/>
  <c r="L68" i="13"/>
  <c r="R23" i="5"/>
  <c r="G74" i="5"/>
  <c r="G75" i="5"/>
  <c r="G72" i="5"/>
  <c r="G76" i="5" s="1"/>
  <c r="G82" i="5"/>
  <c r="I80" i="5"/>
  <c r="I81" i="5" s="1"/>
  <c r="Q80" i="5"/>
  <c r="H80" i="5"/>
  <c r="H81" i="5" s="1"/>
  <c r="J80" i="5"/>
  <c r="J81" i="5" s="1"/>
  <c r="H36" i="24" s="1"/>
  <c r="P80" i="5"/>
  <c r="P81" i="5" s="1"/>
  <c r="N36" i="24" s="1"/>
  <c r="K80" i="5"/>
  <c r="K81" i="5" s="1"/>
  <c r="I36" i="24" s="1"/>
  <c r="M80" i="5"/>
  <c r="M81" i="5" s="1"/>
  <c r="K36" i="24" s="1"/>
  <c r="L80" i="5"/>
  <c r="L81" i="5" s="1"/>
  <c r="J36" i="24" s="1"/>
  <c r="N80" i="5"/>
  <c r="N81" i="5" s="1"/>
  <c r="L36" i="24" s="1"/>
  <c r="Q79" i="5"/>
  <c r="Q81" i="5" s="1"/>
  <c r="O80" i="5"/>
  <c r="O81" i="5" s="1"/>
  <c r="M36" i="24" s="1"/>
  <c r="P24" i="26" l="1"/>
  <c r="Q22" i="26" s="1"/>
  <c r="Z19" i="26"/>
  <c r="U24" i="26"/>
  <c r="V19" i="26" s="1"/>
  <c r="P11" i="26"/>
  <c r="Z11" i="26" s="1"/>
  <c r="G80" i="24"/>
  <c r="D7" i="26" s="1"/>
  <c r="G35" i="25"/>
  <c r="G36" i="24"/>
  <c r="G35" i="24" s="1"/>
  <c r="L35" i="24"/>
  <c r="L35" i="25"/>
  <c r="E34" i="25"/>
  <c r="D39" i="25" s="1"/>
  <c r="H8" i="26" s="1"/>
  <c r="M35" i="24"/>
  <c r="M35" i="25"/>
  <c r="J35" i="24"/>
  <c r="J35" i="25"/>
  <c r="I35" i="24"/>
  <c r="I35" i="25"/>
  <c r="N35" i="24"/>
  <c r="N35" i="25"/>
  <c r="D38" i="25"/>
  <c r="F36" i="24"/>
  <c r="F35" i="24" s="1"/>
  <c r="F35" i="25"/>
  <c r="K35" i="24"/>
  <c r="K35" i="25"/>
  <c r="H35" i="24"/>
  <c r="H35" i="25"/>
  <c r="D38" i="24"/>
  <c r="L63" i="24"/>
  <c r="L65" i="24" s="1"/>
  <c r="G36" i="13"/>
  <c r="E35" i="24"/>
  <c r="E34" i="24"/>
  <c r="D39" i="24" s="1"/>
  <c r="D8" i="26" s="1"/>
  <c r="E35" i="13"/>
  <c r="E34" i="13"/>
  <c r="L63" i="13"/>
  <c r="O82" i="5"/>
  <c r="H82" i="5"/>
  <c r="F36" i="13"/>
  <c r="F35" i="13" s="1"/>
  <c r="Q82" i="5"/>
  <c r="J82" i="5"/>
  <c r="N82" i="5"/>
  <c r="I82" i="5"/>
  <c r="L82" i="5"/>
  <c r="M82" i="5"/>
  <c r="K82" i="5"/>
  <c r="P82" i="5"/>
  <c r="Q21" i="26" l="1"/>
  <c r="Q20" i="26"/>
  <c r="Q19" i="26"/>
  <c r="Z24" i="26"/>
  <c r="V22" i="26"/>
  <c r="V21" i="26"/>
  <c r="V20" i="26"/>
  <c r="M81" i="24"/>
  <c r="D40" i="24"/>
  <c r="D9" i="26" s="1"/>
  <c r="L79" i="25"/>
  <c r="N65" i="25" s="1"/>
  <c r="D40" i="25"/>
  <c r="H9" i="26" s="1"/>
  <c r="L79" i="24"/>
  <c r="N65" i="24" s="1"/>
  <c r="G87" i="5"/>
  <c r="G85" i="5"/>
  <c r="G86" i="5" s="1"/>
  <c r="G84" i="5"/>
  <c r="G88" i="5" s="1"/>
  <c r="L19" i="11"/>
  <c r="L24" i="11" s="1"/>
  <c r="V24" i="26" l="1"/>
  <c r="Q24" i="26"/>
  <c r="AA22" i="26"/>
  <c r="AA20" i="26"/>
  <c r="AA21" i="26"/>
  <c r="AA19" i="26"/>
  <c r="P9" i="26"/>
  <c r="Z9" i="26" s="1"/>
  <c r="N74" i="25"/>
  <c r="N75" i="25"/>
  <c r="N69" i="25"/>
  <c r="N64" i="25"/>
  <c r="N70" i="25"/>
  <c r="N68" i="25"/>
  <c r="N63" i="25"/>
  <c r="N75" i="24"/>
  <c r="N74" i="24"/>
  <c r="N69" i="24"/>
  <c r="N64" i="24"/>
  <c r="N70" i="24"/>
  <c r="N68" i="24"/>
  <c r="N63" i="24"/>
  <c r="G41" i="11"/>
  <c r="G72" i="11" s="1"/>
  <c r="G76" i="11" s="1"/>
  <c r="G37" i="11"/>
  <c r="AA24" i="26" l="1"/>
  <c r="P13" i="26"/>
  <c r="Q11" i="26" s="1"/>
  <c r="Z13" i="26"/>
  <c r="AA9" i="26"/>
  <c r="U13" i="26"/>
  <c r="V9" i="26" s="1"/>
  <c r="N79" i="25"/>
  <c r="N79" i="24"/>
  <c r="L22" i="11"/>
  <c r="G38" i="11"/>
  <c r="O85" i="11" s="1"/>
  <c r="G84" i="11"/>
  <c r="G78" i="11"/>
  <c r="G82" i="11" s="1"/>
  <c r="G88" i="11"/>
  <c r="G80" i="11"/>
  <c r="G81" i="11"/>
  <c r="Q10" i="26" l="1"/>
  <c r="Q9" i="26"/>
  <c r="AA10" i="26"/>
  <c r="AA11" i="26"/>
  <c r="V11" i="26"/>
  <c r="V10" i="26"/>
  <c r="V13" i="26" s="1"/>
  <c r="L23" i="11"/>
  <c r="L69" i="13"/>
  <c r="L70" i="13"/>
  <c r="M83" i="13" s="1"/>
  <c r="J86" i="11"/>
  <c r="K86" i="11"/>
  <c r="Q86" i="11"/>
  <c r="L86" i="11"/>
  <c r="M86" i="11"/>
  <c r="N86" i="11"/>
  <c r="Q85" i="11"/>
  <c r="O86" i="11"/>
  <c r="H86" i="11"/>
  <c r="P86" i="11"/>
  <c r="I86" i="11"/>
  <c r="AA13" i="26" l="1"/>
  <c r="Q13" i="26"/>
  <c r="D38" i="13"/>
  <c r="Q87" i="11"/>
  <c r="L64" i="13"/>
  <c r="L65" i="13"/>
  <c r="M81" i="13" s="1"/>
  <c r="L88" i="11"/>
  <c r="L87" i="11"/>
  <c r="K36" i="13" s="1"/>
  <c r="K35" i="13" s="1"/>
  <c r="N88" i="11"/>
  <c r="N87" i="11"/>
  <c r="I88" i="11"/>
  <c r="I87" i="11"/>
  <c r="H36" i="13" s="1"/>
  <c r="H35" i="13" s="1"/>
  <c r="K88" i="11"/>
  <c r="K87" i="11"/>
  <c r="J36" i="13" s="1"/>
  <c r="J35" i="13" s="1"/>
  <c r="O88" i="11"/>
  <c r="O87" i="11"/>
  <c r="N36" i="13" s="1"/>
  <c r="M88" i="11"/>
  <c r="M87" i="11"/>
  <c r="L36" i="13" s="1"/>
  <c r="L35" i="13" s="1"/>
  <c r="P88" i="11"/>
  <c r="P87" i="11"/>
  <c r="H88" i="11"/>
  <c r="H87" i="11"/>
  <c r="G35" i="13" s="1"/>
  <c r="J88" i="11"/>
  <c r="J87" i="11"/>
  <c r="I36" i="13" s="1"/>
  <c r="I35" i="13" s="1"/>
  <c r="Q88" i="11"/>
  <c r="L79" i="13" l="1"/>
  <c r="N65" i="13" s="1"/>
  <c r="N35" i="13"/>
  <c r="M36" i="13"/>
  <c r="M35" i="13" s="1"/>
  <c r="D40" i="13" s="1"/>
  <c r="L9" i="26" s="1"/>
  <c r="G91" i="11"/>
  <c r="G92" i="11" s="1"/>
  <c r="G93" i="11"/>
  <c r="G90" i="11"/>
  <c r="G94" i="11" s="1"/>
  <c r="N64" i="13" l="1"/>
  <c r="N75" i="13"/>
  <c r="N74" i="13"/>
  <c r="N68" i="13"/>
  <c r="N63" i="13"/>
  <c r="D39" i="13" s="1"/>
  <c r="L8" i="26" s="1"/>
  <c r="N70" i="13"/>
  <c r="N69" i="13"/>
  <c r="N79" i="13" l="1"/>
</calcChain>
</file>

<file path=xl/sharedStrings.xml><?xml version="1.0" encoding="utf-8"?>
<sst xmlns="http://schemas.openxmlformats.org/spreadsheetml/2006/main" count="2068" uniqueCount="476">
  <si>
    <t>Market-Rate Rental Cash Flow</t>
  </si>
  <si>
    <t>x</t>
  </si>
  <si>
    <t>Property Information</t>
  </si>
  <si>
    <t>Operating Information</t>
  </si>
  <si>
    <t>Permanent Mortgage Conditions</t>
  </si>
  <si>
    <t>Number of Units</t>
  </si>
  <si>
    <t>Rent/Month</t>
  </si>
  <si>
    <t>Debt</t>
  </si>
  <si>
    <t>GSF</t>
  </si>
  <si>
    <t xml:space="preserve">   Studio Unit</t>
  </si>
  <si>
    <t>Interest Rate</t>
  </si>
  <si>
    <t>Efficiency</t>
  </si>
  <si>
    <t xml:space="preserve">   1BR</t>
  </si>
  <si>
    <t>Term</t>
  </si>
  <si>
    <t>RSF</t>
  </si>
  <si>
    <t xml:space="preserve">   2BR</t>
  </si>
  <si>
    <t>Monthly Payment</t>
  </si>
  <si>
    <t>Average Unit Size</t>
  </si>
  <si>
    <t>Average Vacancy</t>
  </si>
  <si>
    <t>% Studio</t>
  </si>
  <si>
    <t>Average Rental Rate Increase</t>
  </si>
  <si>
    <t>LTV</t>
  </si>
  <si>
    <t>% 1BR</t>
  </si>
  <si>
    <t>Lease-Up to Stabilization (Months)</t>
  </si>
  <si>
    <t>DSCR</t>
  </si>
  <si>
    <t>% 2BR</t>
  </si>
  <si>
    <t>Lease-Up Velocity (Units/Month)</t>
  </si>
  <si>
    <t>Debt Yield</t>
  </si>
  <si>
    <t>Total Parking Spaces</t>
  </si>
  <si>
    <t>Average Annual Operating Expense/Unit</t>
  </si>
  <si>
    <t>Average Expense Inflation</t>
  </si>
  <si>
    <t>Real Estate Taxes</t>
  </si>
  <si>
    <t>Sources</t>
  </si>
  <si>
    <t>Management Fee (% of Net Revenues)</t>
  </si>
  <si>
    <t>Equity</t>
  </si>
  <si>
    <t xml:space="preserve">Parking Space rent/space/annum </t>
  </si>
  <si>
    <t xml:space="preserve">Cap Ex Reserve </t>
  </si>
  <si>
    <t>Total</t>
  </si>
  <si>
    <t>Loan Sizing</t>
  </si>
  <si>
    <t xml:space="preserve">Holding Period </t>
  </si>
  <si>
    <t xml:space="preserve">Discount Rate </t>
  </si>
  <si>
    <t>Uses</t>
  </si>
  <si>
    <t>Reversionary Cap Rate</t>
  </si>
  <si>
    <t>Project Cost</t>
  </si>
  <si>
    <t>Closing Costs</t>
  </si>
  <si>
    <t>Total Uses</t>
  </si>
  <si>
    <t>Lease Up</t>
  </si>
  <si>
    <t>PGI</t>
  </si>
  <si>
    <t>Studio</t>
  </si>
  <si>
    <t>1BR</t>
  </si>
  <si>
    <t>2BR</t>
  </si>
  <si>
    <t>Pro Forma</t>
  </si>
  <si>
    <t>Occupancy</t>
  </si>
  <si>
    <t>Revenue</t>
  </si>
  <si>
    <t xml:space="preserve">     Studio</t>
  </si>
  <si>
    <t xml:space="preserve">     1BR</t>
  </si>
  <si>
    <t xml:space="preserve">     2BR</t>
  </si>
  <si>
    <t>Other Income</t>
  </si>
  <si>
    <t xml:space="preserve">     Parking</t>
  </si>
  <si>
    <t>Potential Gross Income</t>
  </si>
  <si>
    <t>Vacancy</t>
  </si>
  <si>
    <t>EGI</t>
  </si>
  <si>
    <t>Operating Expenses</t>
  </si>
  <si>
    <t>Management Fee</t>
  </si>
  <si>
    <t>NOI</t>
  </si>
  <si>
    <t>Sale</t>
  </si>
  <si>
    <t>Sales Costs</t>
  </si>
  <si>
    <t>Unleveraged Cash Flow</t>
  </si>
  <si>
    <t>Profit</t>
  </si>
  <si>
    <t>PV</t>
  </si>
  <si>
    <t>NPV</t>
  </si>
  <si>
    <t>Unleveraged IRR</t>
  </si>
  <si>
    <t>Equity Multiple</t>
  </si>
  <si>
    <t>Loan Proceeds</t>
  </si>
  <si>
    <t>Loan Payback</t>
  </si>
  <si>
    <t>Debt Service Payment</t>
  </si>
  <si>
    <t>Leveraged Cash Flow</t>
  </si>
  <si>
    <t>Leveraged IRR</t>
  </si>
  <si>
    <t>Financial Metrics</t>
  </si>
  <si>
    <t>Yield on Cost</t>
  </si>
  <si>
    <t>Cash on Cash</t>
  </si>
  <si>
    <t>Amortization</t>
  </si>
  <si>
    <t>Return on Equity</t>
  </si>
  <si>
    <t>Affordable Rental Cash Flow</t>
  </si>
  <si>
    <t>LIHTC Eligible</t>
  </si>
  <si>
    <t>Y</t>
  </si>
  <si>
    <t>Applicable Fraction</t>
  </si>
  <si>
    <t>Acquisition Basis</t>
  </si>
  <si>
    <t>New Construction Basis</t>
  </si>
  <si>
    <t>Qualified Census Tract?</t>
  </si>
  <si>
    <t>Basis Boost</t>
  </si>
  <si>
    <t>Qualified Basis</t>
  </si>
  <si>
    <t>4% Credit Percentage</t>
  </si>
  <si>
    <t>Annual Credits</t>
  </si>
  <si>
    <t>Total Credit Amount</t>
  </si>
  <si>
    <t>Percentage Syndicated</t>
  </si>
  <si>
    <t>Syndication Price</t>
  </si>
  <si>
    <t xml:space="preserve">LIHTC Equity </t>
  </si>
  <si>
    <t>LIHTC Equity</t>
  </si>
  <si>
    <t>&lt;-- Check</t>
  </si>
  <si>
    <t>LAND</t>
  </si>
  <si>
    <t>CONSTRUCTION</t>
  </si>
  <si>
    <t>Commercial Cash Flow (Office, Biotech, etc.)</t>
  </si>
  <si>
    <t>Financial Information</t>
  </si>
  <si>
    <t>PSF</t>
  </si>
  <si>
    <t>Construction</t>
  </si>
  <si>
    <t>Lease Terms</t>
  </si>
  <si>
    <t>Lease Term</t>
  </si>
  <si>
    <t>years</t>
  </si>
  <si>
    <t>Base Rent</t>
  </si>
  <si>
    <t>psf gross</t>
  </si>
  <si>
    <t>Expenses</t>
  </si>
  <si>
    <t>Rent Growth</t>
  </si>
  <si>
    <t>annual</t>
  </si>
  <si>
    <t>Repairs and Maintenance</t>
  </si>
  <si>
    <t>Expense Growth</t>
  </si>
  <si>
    <t>Administrative</t>
  </si>
  <si>
    <t>Vacancy Y1</t>
  </si>
  <si>
    <t>Given</t>
  </si>
  <si>
    <t>Utilities</t>
  </si>
  <si>
    <t>Total Sources</t>
  </si>
  <si>
    <t>TI</t>
  </si>
  <si>
    <t>psf</t>
  </si>
  <si>
    <t>LC</t>
  </si>
  <si>
    <t>Discount Rate</t>
  </si>
  <si>
    <t>Entry Cap Rate</t>
  </si>
  <si>
    <t>Total Operating Expenses</t>
  </si>
  <si>
    <t>Exit Cap Rate</t>
  </si>
  <si>
    <t>Free Rent</t>
  </si>
  <si>
    <t>Months</t>
  </si>
  <si>
    <t>Y1 NOI</t>
  </si>
  <si>
    <t>Hold Period</t>
  </si>
  <si>
    <t>Loan Terms</t>
  </si>
  <si>
    <t>Proceeds</t>
  </si>
  <si>
    <t>of total cost</t>
  </si>
  <si>
    <t xml:space="preserve">years </t>
  </si>
  <si>
    <t>Loan</t>
  </si>
  <si>
    <t>Monthly PMT</t>
  </si>
  <si>
    <t>Project Costs</t>
  </si>
  <si>
    <t>Leasing Costs</t>
  </si>
  <si>
    <t>Leasing Commissions</t>
  </si>
  <si>
    <t>Tenant Improvements</t>
  </si>
  <si>
    <t>Net Cash Flow</t>
  </si>
  <si>
    <t>Commission Calculation (PSF)</t>
  </si>
  <si>
    <t>Rent</t>
  </si>
  <si>
    <t>Percentage</t>
  </si>
  <si>
    <t>Property Mgmt Fee (% gross revs)</t>
  </si>
  <si>
    <t>Retail Cash Flow</t>
  </si>
  <si>
    <t>Average Retail Unit Size</t>
  </si>
  <si>
    <t>Retail Units</t>
  </si>
  <si>
    <t>Property Management Fee (% gross revenue)</t>
  </si>
  <si>
    <t>Hotel Cash Flow</t>
  </si>
  <si>
    <t>Revenue and Expense Assumptions P.O.R.</t>
  </si>
  <si>
    <t>Revenue Room</t>
  </si>
  <si>
    <t>Revenue F&amp;B</t>
  </si>
  <si>
    <t>Property Assumptions</t>
  </si>
  <si>
    <t>Revenue Other Operating Departments</t>
  </si>
  <si>
    <t>Rooms</t>
  </si>
  <si>
    <t>Average Room Size</t>
  </si>
  <si>
    <t>Expenses Room</t>
  </si>
  <si>
    <t>Average Daily Rate</t>
  </si>
  <si>
    <t>Expenses F&amp;B</t>
  </si>
  <si>
    <t>ADR Growth</t>
  </si>
  <si>
    <t>Expenses Other Operating Departments</t>
  </si>
  <si>
    <t>Average Occupancy</t>
  </si>
  <si>
    <t>Undistributed Operating Expenses P.O.R.</t>
  </si>
  <si>
    <t>Days</t>
  </si>
  <si>
    <t>Administrative &amp; General</t>
  </si>
  <si>
    <t>Marketing</t>
  </si>
  <si>
    <t>Franchise Fee</t>
  </si>
  <si>
    <t>Prop. Operations &amp; Maint.</t>
  </si>
  <si>
    <t>Information and Telecommunications</t>
  </si>
  <si>
    <t>Number of Rooms</t>
  </si>
  <si>
    <t>Occupied Rooms</t>
  </si>
  <si>
    <t>Available Rooms</t>
  </si>
  <si>
    <t>ADR</t>
  </si>
  <si>
    <t>RevPar</t>
  </si>
  <si>
    <t>Revenues - Room</t>
  </si>
  <si>
    <t>Revenues - F&amp;B</t>
  </si>
  <si>
    <t>Revenues - Other Operating Departments</t>
  </si>
  <si>
    <t>Total Revenues</t>
  </si>
  <si>
    <t>OPEX - Room</t>
  </si>
  <si>
    <t>OPEX - F&amp;B</t>
  </si>
  <si>
    <t>OPEX - Other Operating Departments</t>
  </si>
  <si>
    <t>Undistributed Operating Expenses</t>
  </si>
  <si>
    <t>Total Undistributed Operating Expenses</t>
  </si>
  <si>
    <t>Land Costs</t>
  </si>
  <si>
    <t>Infrastructure</t>
  </si>
  <si>
    <t>Notes</t>
  </si>
  <si>
    <t>Map No.</t>
  </si>
  <si>
    <t>Parcel_Number</t>
  </si>
  <si>
    <t>Situs_Address</t>
  </si>
  <si>
    <t>Situs City</t>
  </si>
  <si>
    <t>Situs Block</t>
  </si>
  <si>
    <t>Current_Owner</t>
  </si>
  <si>
    <t>Zoning</t>
  </si>
  <si>
    <t>Assessed Land</t>
  </si>
  <si>
    <t>Assessed Improve</t>
  </si>
  <si>
    <t>Improvements</t>
  </si>
  <si>
    <t>Acres</t>
  </si>
  <si>
    <t>29-210-21-01-00-0-00-000</t>
  </si>
  <si>
    <t>805 CHERRY ST / 807 CHERRY ST</t>
  </si>
  <si>
    <t>Kansas City</t>
  </si>
  <si>
    <t>OWNER 2</t>
  </si>
  <si>
    <t>UR</t>
  </si>
  <si>
    <t>None</t>
  </si>
  <si>
    <t>29-210-22-07-00-0-00-000</t>
  </si>
  <si>
    <t>701 E 8TH ST</t>
  </si>
  <si>
    <t>OWNER 3</t>
  </si>
  <si>
    <t>Surface parking</t>
  </si>
  <si>
    <t>29-210-21-06-00-0-00-000</t>
  </si>
  <si>
    <t>815 CHERRY ST</t>
  </si>
  <si>
    <t>1 level building / garage</t>
  </si>
  <si>
    <t>29-210-21-07-00-0-00-000</t>
  </si>
  <si>
    <t>606 E 9th ST / 817 CHERRY ST</t>
  </si>
  <si>
    <t>OWNER 1</t>
  </si>
  <si>
    <t>4 level building</t>
  </si>
  <si>
    <t>29-210-21-04-00-0-00-000</t>
  </si>
  <si>
    <t>610 E 9TH ST</t>
  </si>
  <si>
    <t>CITY OF KANSAS CITY</t>
  </si>
  <si>
    <t>29-210-30-09-00-0-00-000</t>
  </si>
  <si>
    <t>901 CHERRY ST / 921 CHERRY ST</t>
  </si>
  <si>
    <t>OWNER 4</t>
  </si>
  <si>
    <t>Parking garage</t>
  </si>
  <si>
    <t>29-210-29-15-01-0-00-000</t>
  </si>
  <si>
    <t>929 HOLMES ST</t>
  </si>
  <si>
    <t>29-210-29-15-02-0-00-000</t>
  </si>
  <si>
    <t>29-210-37-02-01-0-00-000</t>
  </si>
  <si>
    <t>1009 CHERRY ST</t>
  </si>
  <si>
    <t>29-210-37-01-00-0-00-000</t>
  </si>
  <si>
    <t>621 E 10TH ST</t>
  </si>
  <si>
    <t>OWNER 5</t>
  </si>
  <si>
    <t>29-210-37-05-01-0-00-000</t>
  </si>
  <si>
    <t>1010 HOLMES ST</t>
  </si>
  <si>
    <t>29-210-38-03-00-0-00-000</t>
  </si>
  <si>
    <t>703 E 10TH ST</t>
  </si>
  <si>
    <t>3 to 4 level building - Wiltshire Apartments</t>
  </si>
  <si>
    <t>29-210-38-04-00-0-00-000</t>
  </si>
  <si>
    <t>1005 HOLMES</t>
  </si>
  <si>
    <t>29-210-38-07-00-0-00-000</t>
  </si>
  <si>
    <t>1000 CHARLOTTE ST</t>
  </si>
  <si>
    <t>2 story building - Della Lam Elementary (vacant)</t>
  </si>
  <si>
    <t>29-210-38-08-01-0-00-000</t>
  </si>
  <si>
    <t>NO ADDRESS ASSIGNED</t>
  </si>
  <si>
    <t>29-210-37-02-02-0-00-000</t>
  </si>
  <si>
    <t>1015 CHERRY ST</t>
  </si>
  <si>
    <t>29-210-37-03-00-0-00-000</t>
  </si>
  <si>
    <t>1019 CHERRY ST</t>
  </si>
  <si>
    <t>29-210-37-08-00-0-00-000</t>
  </si>
  <si>
    <t>600 E 11th ST / 600 E 11th ST FL 1 / 1012 CHERRY ST</t>
  </si>
  <si>
    <t>29-210-37-05-02-0-00-000</t>
  </si>
  <si>
    <t>1030 HOLMES ST / 622 E 11TH ST</t>
  </si>
  <si>
    <t>29-210-38-08-02-0-00-000</t>
  </si>
  <si>
    <t>714 E 11TH ST</t>
  </si>
  <si>
    <t>29-210-47-02-00-0-00-000</t>
  </si>
  <si>
    <t>1109 CHERRY ST</t>
  </si>
  <si>
    <t>29-210-47-07-00-0-00-000</t>
  </si>
  <si>
    <t>1121 CHERRY ST</t>
  </si>
  <si>
    <t>29-210-47-06-00-0-00-000</t>
  </si>
  <si>
    <t>1119 CHERRY ST</t>
  </si>
  <si>
    <t>29-210-47-01-00-0-00-000</t>
  </si>
  <si>
    <t>1130 HOLMES ST</t>
  </si>
  <si>
    <t>29-210-46-01-00-0-00-000</t>
  </si>
  <si>
    <t>700 E 12TH ST / 700 E 12TH ST ABC / 700 E 12TH ST FL 1 / 1100 CHARLOTTE ST UTILITY / 1111 HOLMES ST</t>
  </si>
  <si>
    <t>PARCELS TO BE ACQUIRED</t>
  </si>
  <si>
    <t>Phase II - Multi</t>
  </si>
  <si>
    <t>29-210-20-01-00-0-00-000</t>
  </si>
  <si>
    <t>Parking</t>
  </si>
  <si>
    <t>29-210-20-03-00-0-00-000</t>
  </si>
  <si>
    <t>29-210-23-04-01-0-00-000</t>
  </si>
  <si>
    <t>Power &amp; Light Building</t>
  </si>
  <si>
    <t>29-210-28-01-00-0-00-000</t>
  </si>
  <si>
    <t>KCPD HQ Annex</t>
  </si>
  <si>
    <t>29-210-28-05-00-0-00-000</t>
  </si>
  <si>
    <t>National Exterminating</t>
  </si>
  <si>
    <t>29-210-28-02-00-0-00-000</t>
  </si>
  <si>
    <t>800 E 10TH ST</t>
  </si>
  <si>
    <t>Wellness Center</t>
  </si>
  <si>
    <t>Parking Structure</t>
  </si>
  <si>
    <t>29-210-45-01-00-0-00-000</t>
  </si>
  <si>
    <t>804 E 12TH ST</t>
  </si>
  <si>
    <t>KANSAS CITY</t>
  </si>
  <si>
    <t>Bank</t>
  </si>
  <si>
    <t>29-210-28-04-00-0-00-000</t>
  </si>
  <si>
    <t>808 E 10TH ST</t>
  </si>
  <si>
    <t>29-210-28-03-00-0-00-000</t>
  </si>
  <si>
    <t>816 E 10TH ST</t>
  </si>
  <si>
    <t>Phase II - Hotel</t>
  </si>
  <si>
    <t>Spectrum Church</t>
  </si>
  <si>
    <t>29-210-39-01-00-0-00-000</t>
  </si>
  <si>
    <t>801 E 10TH ST</t>
  </si>
  <si>
    <t>29-210-39-02-00-0-00-000</t>
  </si>
  <si>
    <t>1017 CHARLOTTE</t>
  </si>
  <si>
    <t>806 CHERRY</t>
  </si>
  <si>
    <t>812 CHERRY</t>
  </si>
  <si>
    <t>802 CHARLOTTE</t>
  </si>
  <si>
    <t>901 CHARLOTTE</t>
  </si>
  <si>
    <t>915 CHARLOTTE</t>
  </si>
  <si>
    <t>Phase I - Resi</t>
  </si>
  <si>
    <t>Phase I - Office</t>
  </si>
  <si>
    <t>Phase I - Civic</t>
  </si>
  <si>
    <t>Phase II - Civic</t>
  </si>
  <si>
    <t xml:space="preserve">Phase </t>
  </si>
  <si>
    <t>Total Assessed</t>
  </si>
  <si>
    <t>Phase</t>
  </si>
  <si>
    <t>Type</t>
  </si>
  <si>
    <t>Value</t>
  </si>
  <si>
    <t>Owned</t>
  </si>
  <si>
    <t>Acquire</t>
  </si>
  <si>
    <t>Original Value</t>
  </si>
  <si>
    <t xml:space="preserve">Total </t>
  </si>
  <si>
    <t>Summary Pro Forma</t>
  </si>
  <si>
    <t>Team</t>
  </si>
  <si>
    <t>Year 0</t>
  </si>
  <si>
    <t>Phase I</t>
  </si>
  <si>
    <t>2021-2022</t>
  </si>
  <si>
    <t xml:space="preserve">Net Operating Income </t>
  </si>
  <si>
    <t>Market-rate</t>
  </si>
  <si>
    <t>Rental Housing</t>
  </si>
  <si>
    <t>Affordable</t>
  </si>
  <si>
    <t>Office/Commercial</t>
  </si>
  <si>
    <t>Market-rate Retail</t>
  </si>
  <si>
    <t>Hotel</t>
  </si>
  <si>
    <t>Structured Parking</t>
  </si>
  <si>
    <t>Total Net Operating Income</t>
  </si>
  <si>
    <t>Income from Sales Proceeds</t>
  </si>
  <si>
    <t>Total Income</t>
  </si>
  <si>
    <t>Development Costs</t>
  </si>
  <si>
    <t>Retail (ALL)</t>
  </si>
  <si>
    <t>Land Acquisition</t>
  </si>
  <si>
    <t>Total Infrastructure</t>
  </si>
  <si>
    <t>Indirect costs</t>
  </si>
  <si>
    <t>Total Development Costs</t>
  </si>
  <si>
    <t>Annual Cash Flow</t>
  </si>
  <si>
    <t>Net Operating Income</t>
  </si>
  <si>
    <t xml:space="preserve">Total Asset Value </t>
  </si>
  <si>
    <t>Total Costs of Sale</t>
  </si>
  <si>
    <t>Leveraged Net Cash Flow</t>
  </si>
  <si>
    <t>Debt Service</t>
  </si>
  <si>
    <t>Net Present Value</t>
  </si>
  <si>
    <t>Loan to Value Ratio (LVR)</t>
  </si>
  <si>
    <t>Unleveraged IRR Before Taxes</t>
  </si>
  <si>
    <t>Current Site Value (start of Year 0)</t>
  </si>
  <si>
    <t>Leveraged IRR Before Taxes</t>
  </si>
  <si>
    <t>Projected Site Value (end of Year 10)</t>
  </si>
  <si>
    <t>2. Multiyear Development Program</t>
  </si>
  <si>
    <t>Year-by-Year Cumulative Absorption</t>
  </si>
  <si>
    <t>Total Buildout</t>
  </si>
  <si>
    <t>Project Buildout by Development Units</t>
  </si>
  <si>
    <t>(units)</t>
  </si>
  <si>
    <t>(rooms)</t>
  </si>
  <si>
    <t>(spaces)</t>
  </si>
  <si>
    <t>Project Buildout by Area</t>
  </si>
  <si>
    <t>(s.f.)</t>
  </si>
  <si>
    <t>3. Unit Development and Infrastructure Costs</t>
  </si>
  <si>
    <t>4. Equity and Financing Sources</t>
  </si>
  <si>
    <t>Unit Cost</t>
  </si>
  <si>
    <t>Total Costs</t>
  </si>
  <si>
    <t>Amount</t>
  </si>
  <si>
    <t>Percent of Total</t>
  </si>
  <si>
    <t>($ per unit)</t>
  </si>
  <si>
    <t>Equity Sources (total)</t>
  </si>
  <si>
    <t>($ per s.f.)</t>
  </si>
  <si>
    <t>Financing Sources (total)</t>
  </si>
  <si>
    <t>($ per room)</t>
  </si>
  <si>
    <t>Infrastructure Costs</t>
  </si>
  <si>
    <t>Public</t>
  </si>
  <si>
    <t>Private</t>
  </si>
  <si>
    <t>Roads</t>
  </si>
  <si>
    <t>Public Subsidies (total, if any)</t>
  </si>
  <si>
    <t>Other Hardscaping (not incl. surf. pkg.)</t>
  </si>
  <si>
    <t>Landscaping</t>
  </si>
  <si>
    <t>Acquisition Taxes and Fees</t>
  </si>
  <si>
    <t>Total Infrastructure Costs</t>
  </si>
  <si>
    <t>Parking SF</t>
  </si>
  <si>
    <t>Office</t>
  </si>
  <si>
    <t>Residential</t>
  </si>
  <si>
    <t>Retail</t>
  </si>
  <si>
    <t>Civic</t>
  </si>
  <si>
    <t>Total SF</t>
  </si>
  <si>
    <t>Spaces</t>
  </si>
  <si>
    <t>Building 1</t>
  </si>
  <si>
    <t>Building 2</t>
  </si>
  <si>
    <t>Resi</t>
  </si>
  <si>
    <t>Building 3</t>
  </si>
  <si>
    <t xml:space="preserve">Retail </t>
  </si>
  <si>
    <t>Building 4</t>
  </si>
  <si>
    <t xml:space="preserve">Phase I </t>
  </si>
  <si>
    <t>Building 5</t>
  </si>
  <si>
    <t>Building 6</t>
  </si>
  <si>
    <t>Building 7</t>
  </si>
  <si>
    <t>Building 8</t>
  </si>
  <si>
    <t>Building 9</t>
  </si>
  <si>
    <t>Phase II</t>
  </si>
  <si>
    <t>Building 10</t>
  </si>
  <si>
    <t>Building 11</t>
  </si>
  <si>
    <t>Building 12</t>
  </si>
  <si>
    <t>Building 13</t>
  </si>
  <si>
    <t>Building 14</t>
  </si>
  <si>
    <t>Building 15</t>
  </si>
  <si>
    <t>Building 16</t>
  </si>
  <si>
    <t>CHECK</t>
  </si>
  <si>
    <t>Building 17</t>
  </si>
  <si>
    <t>Building 18</t>
  </si>
  <si>
    <t>Building 19</t>
  </si>
  <si>
    <t>Building 20</t>
  </si>
  <si>
    <t>Building 20 - Parking</t>
  </si>
  <si>
    <t xml:space="preserve">Total Commercial </t>
  </si>
  <si>
    <t xml:space="preserve">% Total </t>
  </si>
  <si>
    <t>Parking Garage Allocation by Phase</t>
  </si>
  <si>
    <t>Total Parking - Building 20 (SF)</t>
  </si>
  <si>
    <t>% Total</t>
  </si>
  <si>
    <t>SF Allocation</t>
  </si>
  <si>
    <t>Total Landscaping</t>
  </si>
  <si>
    <t>Building Type</t>
  </si>
  <si>
    <t>MF</t>
  </si>
  <si>
    <t>Year</t>
  </si>
  <si>
    <t>Rents</t>
  </si>
  <si>
    <t>Rate</t>
  </si>
  <si>
    <t>HC Cost PSF</t>
  </si>
  <si>
    <t>SC Cost PSF</t>
  </si>
  <si>
    <t>%</t>
  </si>
  <si>
    <t>Hard Costs PSF</t>
  </si>
  <si>
    <t>Soft Costs PSF</t>
  </si>
  <si>
    <t>Parking (per Space)</t>
  </si>
  <si>
    <t>Cost</t>
  </si>
  <si>
    <t>Total Cost</t>
  </si>
  <si>
    <t>Plug</t>
  </si>
  <si>
    <t>%GSF</t>
  </si>
  <si>
    <t>Parking Land</t>
  </si>
  <si>
    <t>Land Acq</t>
  </si>
  <si>
    <t>Missouri - Assessment Ratio</t>
  </si>
  <si>
    <t>Start Year</t>
  </si>
  <si>
    <t>Growth</t>
  </si>
  <si>
    <t>Cost PSF</t>
  </si>
  <si>
    <t>Origination</t>
  </si>
  <si>
    <t>Resi - Aff</t>
  </si>
  <si>
    <t>Per Room</t>
  </si>
  <si>
    <t>Total Debt Service</t>
  </si>
  <si>
    <t>($ per space)</t>
  </si>
  <si>
    <t>Asset Valuation</t>
  </si>
  <si>
    <t>Sales Cost</t>
  </si>
  <si>
    <t>2021-2414</t>
  </si>
  <si>
    <t>% 3BR</t>
  </si>
  <si>
    <t>3BR</t>
  </si>
  <si>
    <t>Developable Parcel</t>
  </si>
  <si>
    <t>Year 1</t>
  </si>
  <si>
    <t>Year 2</t>
  </si>
  <si>
    <t>Year 3</t>
  </si>
  <si>
    <t>Year 4</t>
  </si>
  <si>
    <t>% Complete</t>
  </si>
  <si>
    <t>Demolition SF</t>
  </si>
  <si>
    <t>Infrastructure Allocation by Phase</t>
  </si>
  <si>
    <t>SF</t>
  </si>
  <si>
    <t>Valuation Metrics</t>
  </si>
  <si>
    <t>Rent Assumptions</t>
  </si>
  <si>
    <t>Construction Cost Assumptions (PSF)</t>
  </si>
  <si>
    <t>Project Construction Cost Assumptions</t>
  </si>
  <si>
    <t>PHASE I</t>
  </si>
  <si>
    <t>DEVELOPMENT COSTS</t>
  </si>
  <si>
    <t>UNLEVERED IRR</t>
  </si>
  <si>
    <t>LEVERED IRR</t>
  </si>
  <si>
    <t>PHASE II</t>
  </si>
  <si>
    <t>TOTAL DEVELOPMENT</t>
  </si>
  <si>
    <t>PHASE I - SOURCES</t>
  </si>
  <si>
    <t>Construction Loan</t>
  </si>
  <si>
    <t>Use</t>
  </si>
  <si>
    <t>PHASE I - USES</t>
  </si>
  <si>
    <t>Source</t>
  </si>
  <si>
    <t>Construction Costs</t>
  </si>
  <si>
    <t>Land</t>
  </si>
  <si>
    <t>Indirect Costs</t>
  </si>
  <si>
    <t>PHASE II - SOURCES</t>
  </si>
  <si>
    <t>PHASE II - USES</t>
  </si>
  <si>
    <t>TOTAL DEVELOPMENT - SOURCES</t>
  </si>
  <si>
    <t>TOTAL DEVELOPMENT - 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</si>
</sst>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General\ &quot;years&quot;"/>
    <numFmt numFmtId="167" formatCode="0%\ &quot;of EGI&quot;"/>
    <numFmt numFmtId="168" formatCode="&quot;Month&quot;\ 0"/>
    <numFmt numFmtId="169" formatCode="&quot;Year&quot;\ 0"/>
    <numFmt numFmtId="170" formatCode="0.00\x"/>
    <numFmt numFmtId="171" formatCode="&quot;$&quot;#,##0"/>
    <numFmt numFmtId="172" formatCode="&quot;$&quot;#,##0.00"/>
    <numFmt numFmtId="173" formatCode="&quot;$&quot;#,##0.0_);[Red]\(&quot;$&quot;#,##0.0\)"/>
    <numFmt numFmtId="174" formatCode="0.000%"/>
    <numFmt numFmtId="175" formatCode="_(&quot;$&quot;* #,##0_);_(&quot;$&quot;* \(#,##0\);_(&quot;$&quot;* &quot;-&quot;??_);_(@_)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游ゴシック"/>
      <family val="3"/>
      <charset val="128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b/>
      <sz val="10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indexed="1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7EFD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56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rgb="FF000000"/>
      </patternFill>
    </fill>
    <fill>
      <patternFill patternType="solid">
        <fgColor rgb="FFD9EAD3"/>
        <bgColor rgb="FFD9EA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4CCCC"/>
        <bgColor rgb="FFF4CCCC"/>
      </patternFill>
    </fill>
    <fill>
      <patternFill patternType="solid">
        <fgColor rgb="FFFFCCCC"/>
        <bgColor rgb="FFFFCCCC"/>
      </patternFill>
    </fill>
    <fill>
      <patternFill patternType="solid">
        <fgColor theme="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6">
    <xf numFmtId="0" fontId="0" fillId="0" borderId="0" xfId="0"/>
    <xf numFmtId="0" fontId="6" fillId="0" borderId="0" xfId="2" applyFont="1" applyAlignment="1">
      <alignment horizontal="left" vertical="center"/>
    </xf>
    <xf numFmtId="0" fontId="7" fillId="0" borderId="0" xfId="1" applyFont="1"/>
    <xf numFmtId="0" fontId="1" fillId="0" borderId="0" xfId="6"/>
    <xf numFmtId="0" fontId="1" fillId="0" borderId="0" xfId="6" applyAlignment="1">
      <alignment horizontal="center"/>
    </xf>
    <xf numFmtId="0" fontId="3" fillId="2" borderId="0" xfId="6" applyFont="1" applyFill="1"/>
    <xf numFmtId="0" fontId="3" fillId="0" borderId="0" xfId="6" applyFont="1"/>
    <xf numFmtId="0" fontId="3" fillId="2" borderId="0" xfId="6" applyFont="1" applyFill="1" applyAlignment="1">
      <alignment horizontal="center"/>
    </xf>
    <xf numFmtId="6" fontId="1" fillId="0" borderId="0" xfId="6" applyNumberFormat="1"/>
    <xf numFmtId="8" fontId="1" fillId="0" borderId="0" xfId="6" applyNumberFormat="1" applyAlignment="1">
      <alignment horizontal="center"/>
    </xf>
    <xf numFmtId="0" fontId="1" fillId="0" borderId="0" xfId="6" applyAlignment="1">
      <alignment horizontal="left"/>
    </xf>
    <xf numFmtId="0" fontId="9" fillId="0" borderId="0" xfId="6" applyFont="1" applyAlignment="1">
      <alignment horizontal="left"/>
    </xf>
    <xf numFmtId="0" fontId="1" fillId="0" borderId="2" xfId="6" applyBorder="1"/>
    <xf numFmtId="6" fontId="1" fillId="0" borderId="2" xfId="6" applyNumberFormat="1" applyBorder="1"/>
    <xf numFmtId="0" fontId="1" fillId="0" borderId="2" xfId="6" applyBorder="1" applyAlignment="1">
      <alignment horizontal="center"/>
    </xf>
    <xf numFmtId="0" fontId="1" fillId="0" borderId="2" xfId="6" applyBorder="1" applyAlignment="1">
      <alignment horizontal="left"/>
    </xf>
    <xf numFmtId="0" fontId="2" fillId="0" borderId="0" xfId="6" applyFont="1"/>
    <xf numFmtId="0" fontId="10" fillId="0" borderId="0" xfId="6" applyFont="1"/>
    <xf numFmtId="0" fontId="11" fillId="0" borderId="0" xfId="6" applyFont="1"/>
    <xf numFmtId="9" fontId="10" fillId="0" borderId="0" xfId="6" applyNumberFormat="1" applyFont="1"/>
    <xf numFmtId="173" fontId="10" fillId="0" borderId="0" xfId="6" applyNumberFormat="1" applyFont="1" applyAlignment="1">
      <alignment horizontal="center"/>
    </xf>
    <xf numFmtId="9" fontId="10" fillId="0" borderId="0" xfId="6" applyNumberFormat="1" applyFont="1" applyAlignment="1">
      <alignment horizontal="center"/>
    </xf>
    <xf numFmtId="165" fontId="10" fillId="0" borderId="0" xfId="6" applyNumberFormat="1" applyFont="1"/>
    <xf numFmtId="173" fontId="10" fillId="0" borderId="2" xfId="6" applyNumberFormat="1" applyFont="1" applyBorder="1" applyAlignment="1">
      <alignment horizontal="center"/>
    </xf>
    <xf numFmtId="43" fontId="10" fillId="0" borderId="0" xfId="7" applyFont="1" applyFill="1"/>
    <xf numFmtId="164" fontId="10" fillId="0" borderId="0" xfId="7" applyNumberFormat="1" applyFont="1" applyFill="1"/>
    <xf numFmtId="0" fontId="9" fillId="0" borderId="0" xfId="6" applyFont="1"/>
    <xf numFmtId="169" fontId="3" fillId="2" borderId="0" xfId="6" applyNumberFormat="1" applyFont="1" applyFill="1" applyAlignment="1">
      <alignment horizontal="center"/>
    </xf>
    <xf numFmtId="9" fontId="1" fillId="0" borderId="0" xfId="6" applyNumberFormat="1" applyAlignment="1">
      <alignment horizontal="center"/>
    </xf>
    <xf numFmtId="8" fontId="1" fillId="0" borderId="0" xfId="6" applyNumberFormat="1"/>
    <xf numFmtId="0" fontId="1" fillId="0" borderId="3" xfId="6" applyBorder="1"/>
    <xf numFmtId="0" fontId="1" fillId="0" borderId="4" xfId="6" applyBorder="1"/>
    <xf numFmtId="6" fontId="1" fillId="0" borderId="5" xfId="6" applyNumberFormat="1" applyBorder="1"/>
    <xf numFmtId="0" fontId="1" fillId="0" borderId="6" xfId="6" applyBorder="1"/>
    <xf numFmtId="6" fontId="1" fillId="0" borderId="7" xfId="6" applyNumberFormat="1" applyBorder="1"/>
    <xf numFmtId="165" fontId="1" fillId="0" borderId="7" xfId="6" applyNumberFormat="1" applyBorder="1"/>
    <xf numFmtId="0" fontId="1" fillId="0" borderId="8" xfId="6" applyBorder="1"/>
    <xf numFmtId="0" fontId="1" fillId="0" borderId="9" xfId="6" applyBorder="1"/>
    <xf numFmtId="170" fontId="1" fillId="0" borderId="10" xfId="6" applyNumberFormat="1" applyBorder="1"/>
    <xf numFmtId="10" fontId="1" fillId="0" borderId="7" xfId="6" applyNumberFormat="1" applyBorder="1"/>
    <xf numFmtId="0" fontId="8" fillId="2" borderId="0" xfId="6" applyFont="1" applyFill="1"/>
    <xf numFmtId="0" fontId="0" fillId="0" borderId="0" xfId="6" applyFont="1"/>
    <xf numFmtId="164" fontId="8" fillId="0" borderId="0" xfId="7" applyNumberFormat="1" applyFont="1"/>
    <xf numFmtId="164" fontId="12" fillId="0" borderId="0" xfId="7" applyNumberFormat="1" applyFont="1"/>
    <xf numFmtId="0" fontId="1" fillId="0" borderId="0" xfId="6" applyAlignment="1">
      <alignment horizontal="center"/>
    </xf>
    <xf numFmtId="0" fontId="8" fillId="0" borderId="0" xfId="6" applyFont="1" applyAlignment="1">
      <alignment horizontal="center"/>
    </xf>
    <xf numFmtId="0" fontId="8" fillId="6" borderId="0" xfId="6" applyFont="1" applyFill="1"/>
    <xf numFmtId="6" fontId="12" fillId="0" borderId="0" xfId="6" applyNumberFormat="1" applyFont="1"/>
    <xf numFmtId="8" fontId="1" fillId="0" borderId="0" xfId="6" applyNumberFormat="1" applyAlignment="1">
      <alignment horizontal="left"/>
    </xf>
    <xf numFmtId="164" fontId="8" fillId="0" borderId="0" xfId="6" applyNumberFormat="1" applyFont="1"/>
    <xf numFmtId="0" fontId="12" fillId="0" borderId="0" xfId="6" applyFont="1"/>
    <xf numFmtId="164" fontId="1" fillId="0" borderId="0" xfId="6" applyNumberFormat="1"/>
    <xf numFmtId="164" fontId="1" fillId="0" borderId="0" xfId="3" applyNumberFormat="1" applyFont="1"/>
    <xf numFmtId="9" fontId="1" fillId="0" borderId="0" xfId="6" applyNumberFormat="1"/>
    <xf numFmtId="0" fontId="13" fillId="0" borderId="0" xfId="6" applyFont="1"/>
    <xf numFmtId="37" fontId="14" fillId="7" borderId="0" xfId="2" applyNumberFormat="1" applyFont="1" applyFill="1" applyAlignment="1">
      <alignment vertical="center"/>
    </xf>
    <xf numFmtId="0" fontId="8" fillId="6" borderId="0" xfId="6" applyFont="1" applyFill="1" applyAlignment="1">
      <alignment horizontal="center"/>
    </xf>
    <xf numFmtId="0" fontId="3" fillId="8" borderId="0" xfId="6" applyFont="1" applyFill="1"/>
    <xf numFmtId="0" fontId="3" fillId="8" borderId="15" xfId="6" applyFont="1" applyFill="1" applyBorder="1"/>
    <xf numFmtId="169" fontId="3" fillId="8" borderId="0" xfId="6" applyNumberFormat="1" applyFont="1" applyFill="1" applyAlignment="1">
      <alignment horizontal="center"/>
    </xf>
    <xf numFmtId="0" fontId="1" fillId="9" borderId="2" xfId="6" applyFill="1" applyBorder="1"/>
    <xf numFmtId="6" fontId="1" fillId="9" borderId="2" xfId="6" applyNumberFormat="1" applyFill="1" applyBorder="1"/>
    <xf numFmtId="0" fontId="1" fillId="9" borderId="0" xfId="6" applyFill="1"/>
    <xf numFmtId="6" fontId="1" fillId="9" borderId="0" xfId="6" applyNumberFormat="1" applyFill="1"/>
    <xf numFmtId="0" fontId="16" fillId="0" borderId="0" xfId="0" applyFont="1" applyAlignment="1">
      <alignment horizontal="center"/>
    </xf>
    <xf numFmtId="0" fontId="17" fillId="0" borderId="0" xfId="0" applyFont="1"/>
    <xf numFmtId="44" fontId="17" fillId="0" borderId="0" xfId="9" applyFont="1" applyBorder="1" applyAlignment="1"/>
    <xf numFmtId="43" fontId="17" fillId="0" borderId="0" xfId="8" applyFont="1" applyBorder="1" applyAlignment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center"/>
    </xf>
    <xf numFmtId="0" fontId="17" fillId="0" borderId="0" xfId="0" applyFont="1" applyAlignment="1">
      <alignment wrapText="1"/>
    </xf>
    <xf numFmtId="44" fontId="16" fillId="0" borderId="16" xfId="9" applyFont="1" applyBorder="1" applyAlignment="1"/>
    <xf numFmtId="43" fontId="16" fillId="0" borderId="16" xfId="8" applyFont="1" applyBorder="1" applyAlignment="1"/>
    <xf numFmtId="0" fontId="13" fillId="0" borderId="0" xfId="0" applyFont="1" applyAlignment="1">
      <alignment horizontal="center"/>
    </xf>
    <xf numFmtId="171" fontId="17" fillId="0" borderId="0" xfId="0" applyNumberFormat="1" applyFont="1"/>
    <xf numFmtId="171" fontId="17" fillId="0" borderId="0" xfId="9" applyNumberFormat="1" applyFont="1" applyBorder="1" applyAlignment="1"/>
    <xf numFmtId="171" fontId="16" fillId="0" borderId="16" xfId="0" applyNumberFormat="1" applyFont="1" applyBorder="1"/>
    <xf numFmtId="171" fontId="16" fillId="0" borderId="16" xfId="9" applyNumberFormat="1" applyFont="1" applyBorder="1" applyAlignment="1"/>
    <xf numFmtId="171" fontId="0" fillId="0" borderId="0" xfId="0" applyNumberFormat="1"/>
    <xf numFmtId="0" fontId="0" fillId="0" borderId="0" xfId="0" applyAlignment="1">
      <alignment horizontal="center"/>
    </xf>
    <xf numFmtId="0" fontId="15" fillId="8" borderId="15" xfId="0" applyFont="1" applyFill="1" applyBorder="1" applyAlignment="1">
      <alignment horizontal="center"/>
    </xf>
    <xf numFmtId="0" fontId="15" fillId="8" borderId="15" xfId="0" applyFont="1" applyFill="1" applyBorder="1"/>
    <xf numFmtId="0" fontId="21" fillId="8" borderId="15" xfId="0" applyFont="1" applyFill="1" applyBorder="1"/>
    <xf numFmtId="44" fontId="21" fillId="8" borderId="15" xfId="9" applyFont="1" applyFill="1" applyBorder="1" applyAlignment="1"/>
    <xf numFmtId="43" fontId="21" fillId="8" borderId="15" xfId="8" applyFont="1" applyFill="1" applyBorder="1" applyAlignment="1"/>
    <xf numFmtId="171" fontId="0" fillId="0" borderId="0" xfId="0" applyNumberFormat="1" applyAlignment="1">
      <alignment horizontal="center"/>
    </xf>
    <xf numFmtId="0" fontId="0" fillId="9" borderId="0" xfId="0" applyFill="1" applyAlignment="1">
      <alignment horizontal="center"/>
    </xf>
    <xf numFmtId="171" fontId="0" fillId="9" borderId="0" xfId="0" applyNumberFormat="1" applyFill="1" applyAlignment="1">
      <alignment horizontal="center"/>
    </xf>
    <xf numFmtId="0" fontId="0" fillId="9" borderId="1" xfId="0" applyFill="1" applyBorder="1" applyAlignment="1">
      <alignment horizontal="center"/>
    </xf>
    <xf numFmtId="171" fontId="0" fillId="9" borderId="1" xfId="0" applyNumberFormat="1" applyFill="1" applyBorder="1" applyAlignment="1">
      <alignment horizontal="center"/>
    </xf>
    <xf numFmtId="0" fontId="24" fillId="0" borderId="0" xfId="2" applyFont="1" applyAlignment="1">
      <alignment vertical="center"/>
    </xf>
    <xf numFmtId="0" fontId="24" fillId="0" borderId="2" xfId="2" applyFont="1" applyBorder="1"/>
    <xf numFmtId="0" fontId="24" fillId="0" borderId="1" xfId="2" applyFont="1" applyBorder="1" applyAlignment="1">
      <alignment horizontal="center"/>
    </xf>
    <xf numFmtId="0" fontId="25" fillId="0" borderId="1" xfId="2" applyFont="1" applyBorder="1" applyAlignment="1">
      <alignment horizontal="center"/>
    </xf>
    <xf numFmtId="0" fontId="25" fillId="0" borderId="21" xfId="2" applyFont="1" applyBorder="1" applyAlignment="1">
      <alignment horizontal="center"/>
    </xf>
    <xf numFmtId="0" fontId="25" fillId="0" borderId="23" xfId="2" applyFont="1" applyBorder="1"/>
    <xf numFmtId="0" fontId="25" fillId="0" borderId="23" xfId="2" applyFont="1" applyBorder="1" applyAlignment="1">
      <alignment horizontal="center"/>
    </xf>
    <xf numFmtId="0" fontId="24" fillId="0" borderId="24" xfId="2" applyFont="1" applyBorder="1"/>
    <xf numFmtId="0" fontId="24" fillId="0" borderId="26" xfId="2" applyFont="1" applyBorder="1" applyAlignment="1">
      <alignment horizontal="center"/>
    </xf>
    <xf numFmtId="0" fontId="24" fillId="0" borderId="27" xfId="2" applyFont="1" applyBorder="1"/>
    <xf numFmtId="0" fontId="24" fillId="0" borderId="21" xfId="2" applyFont="1" applyBorder="1"/>
    <xf numFmtId="0" fontId="25" fillId="0" borderId="0" xfId="2" applyFont="1" applyAlignment="1">
      <alignment horizontal="left"/>
    </xf>
    <xf numFmtId="0" fontId="24" fillId="0" borderId="0" xfId="2" applyFont="1" applyAlignment="1">
      <alignment horizontal="center"/>
    </xf>
    <xf numFmtId="0" fontId="25" fillId="11" borderId="17" xfId="2" applyFont="1" applyFill="1" applyBorder="1" applyAlignment="1">
      <alignment horizontal="left"/>
    </xf>
    <xf numFmtId="0" fontId="25" fillId="11" borderId="15" xfId="2" applyFont="1" applyFill="1" applyBorder="1" applyAlignment="1">
      <alignment horizontal="left"/>
    </xf>
    <xf numFmtId="0" fontId="24" fillId="11" borderId="15" xfId="2" applyFont="1" applyFill="1" applyBorder="1" applyAlignment="1">
      <alignment horizontal="center"/>
    </xf>
    <xf numFmtId="0" fontId="24" fillId="11" borderId="30" xfId="2" applyFont="1" applyFill="1" applyBorder="1"/>
    <xf numFmtId="0" fontId="24" fillId="11" borderId="15" xfId="2" applyFont="1" applyFill="1" applyBorder="1"/>
    <xf numFmtId="0" fontId="25" fillId="11" borderId="0" xfId="2" applyFont="1" applyFill="1" applyAlignment="1">
      <alignment horizontal="left"/>
    </xf>
    <xf numFmtId="0" fontId="24" fillId="11" borderId="0" xfId="2" applyFont="1" applyFill="1" applyAlignment="1">
      <alignment horizontal="center"/>
    </xf>
    <xf numFmtId="0" fontId="24" fillId="11" borderId="0" xfId="2" applyFont="1" applyFill="1"/>
    <xf numFmtId="0" fontId="24" fillId="11" borderId="23" xfId="2" applyFont="1" applyFill="1" applyBorder="1"/>
    <xf numFmtId="0" fontId="25" fillId="0" borderId="20" xfId="2" applyFont="1" applyBorder="1" applyAlignment="1">
      <alignment horizontal="center"/>
    </xf>
    <xf numFmtId="0" fontId="25" fillId="0" borderId="1" xfId="2" applyFont="1" applyBorder="1" applyAlignment="1">
      <alignment horizontal="left"/>
    </xf>
    <xf numFmtId="0" fontId="25" fillId="0" borderId="1" xfId="2" applyFont="1" applyBorder="1" applyAlignment="1">
      <alignment horizontal="right"/>
    </xf>
    <xf numFmtId="0" fontId="25" fillId="0" borderId="15" xfId="2" applyFont="1" applyBorder="1"/>
    <xf numFmtId="0" fontId="24" fillId="0" borderId="30" xfId="2" applyFont="1" applyBorder="1"/>
    <xf numFmtId="0" fontId="25" fillId="0" borderId="1" xfId="2" applyFont="1" applyBorder="1"/>
    <xf numFmtId="0" fontId="25" fillId="0" borderId="13" xfId="2" applyFont="1" applyBorder="1"/>
    <xf numFmtId="0" fontId="24" fillId="0" borderId="18" xfId="2" applyFont="1" applyBorder="1"/>
    <xf numFmtId="0" fontId="25" fillId="0" borderId="17" xfId="2" applyFont="1" applyBorder="1"/>
    <xf numFmtId="0" fontId="24" fillId="0" borderId="14" xfId="2" applyFont="1" applyBorder="1"/>
    <xf numFmtId="0" fontId="25" fillId="0" borderId="0" xfId="2" applyFont="1" applyAlignment="1">
      <alignment horizontal="right" vertical="center"/>
    </xf>
    <xf numFmtId="0" fontId="25" fillId="0" borderId="0" xfId="2" applyFont="1" applyAlignment="1">
      <alignment horizontal="left" vertical="center"/>
    </xf>
    <xf numFmtId="0" fontId="24" fillId="0" borderId="23" xfId="2" applyFont="1" applyBorder="1" applyAlignment="1">
      <alignment horizontal="center"/>
    </xf>
    <xf numFmtId="0" fontId="24" fillId="0" borderId="33" xfId="2" applyFont="1" applyBorder="1"/>
    <xf numFmtId="0" fontId="24" fillId="0" borderId="0" xfId="2" applyFont="1" applyAlignment="1">
      <alignment wrapText="1"/>
    </xf>
    <xf numFmtId="0" fontId="28" fillId="0" borderId="0" xfId="10" applyFont="1"/>
    <xf numFmtId="0" fontId="29" fillId="0" borderId="0" xfId="10" applyFont="1" applyAlignment="1">
      <alignment horizontal="center"/>
    </xf>
    <xf numFmtId="9" fontId="28" fillId="0" borderId="0" xfId="10" applyNumberFormat="1" applyFont="1" applyAlignment="1">
      <alignment horizontal="center"/>
    </xf>
    <xf numFmtId="0" fontId="30" fillId="12" borderId="15" xfId="10" applyFont="1" applyFill="1" applyBorder="1" applyAlignment="1">
      <alignment horizontal="center"/>
    </xf>
    <xf numFmtId="0" fontId="30" fillId="12" borderId="15" xfId="10" applyFont="1" applyFill="1" applyBorder="1"/>
    <xf numFmtId="0" fontId="31" fillId="8" borderId="15" xfId="10" applyFont="1" applyFill="1" applyBorder="1"/>
    <xf numFmtId="0" fontId="31" fillId="8" borderId="15" xfId="10" applyFont="1" applyFill="1" applyBorder="1" applyAlignment="1">
      <alignment horizontal="center"/>
    </xf>
    <xf numFmtId="0" fontId="28" fillId="0" borderId="0" xfId="10" applyFont="1" applyAlignment="1">
      <alignment horizontal="center"/>
    </xf>
    <xf numFmtId="0" fontId="24" fillId="13" borderId="0" xfId="10" applyFont="1" applyFill="1"/>
    <xf numFmtId="3" fontId="29" fillId="0" borderId="0" xfId="10" applyNumberFormat="1" applyFont="1" applyAlignment="1">
      <alignment horizontal="center"/>
    </xf>
    <xf numFmtId="3" fontId="28" fillId="0" borderId="0" xfId="10" applyNumberFormat="1" applyFont="1" applyAlignment="1">
      <alignment horizontal="center"/>
    </xf>
    <xf numFmtId="1" fontId="28" fillId="0" borderId="0" xfId="10" applyNumberFormat="1" applyFont="1" applyAlignment="1">
      <alignment horizontal="center"/>
    </xf>
    <xf numFmtId="0" fontId="28" fillId="14" borderId="15" xfId="10" applyFont="1" applyFill="1" applyBorder="1"/>
    <xf numFmtId="3" fontId="28" fillId="14" borderId="15" xfId="10" applyNumberFormat="1" applyFont="1" applyFill="1" applyBorder="1" applyAlignment="1">
      <alignment horizontal="center"/>
    </xf>
    <xf numFmtId="1" fontId="28" fillId="14" borderId="15" xfId="10" applyNumberFormat="1" applyFont="1" applyFill="1" applyBorder="1" applyAlignment="1">
      <alignment horizontal="center"/>
    </xf>
    <xf numFmtId="0" fontId="24" fillId="15" borderId="0" xfId="10" applyFont="1" applyFill="1"/>
    <xf numFmtId="0" fontId="24" fillId="16" borderId="0" xfId="10" applyFont="1" applyFill="1"/>
    <xf numFmtId="0" fontId="28" fillId="15" borderId="0" xfId="10" applyFont="1" applyFill="1"/>
    <xf numFmtId="0" fontId="28" fillId="13" borderId="0" xfId="10" applyFont="1" applyFill="1"/>
    <xf numFmtId="3" fontId="28" fillId="0" borderId="0" xfId="10" applyNumberFormat="1" applyFont="1"/>
    <xf numFmtId="0" fontId="32" fillId="9" borderId="15" xfId="10" applyFont="1" applyFill="1" applyBorder="1"/>
    <xf numFmtId="3" fontId="32" fillId="9" borderId="15" xfId="10" applyNumberFormat="1" applyFont="1" applyFill="1" applyBorder="1" applyAlignment="1">
      <alignment horizontal="center"/>
    </xf>
    <xf numFmtId="0" fontId="28" fillId="9" borderId="15" xfId="10" applyFont="1" applyFill="1" applyBorder="1" applyAlignment="1">
      <alignment horizontal="center"/>
    </xf>
    <xf numFmtId="0" fontId="28" fillId="15" borderId="0" xfId="10" applyFont="1" applyFill="1" applyAlignment="1">
      <alignment horizontal="center"/>
    </xf>
    <xf numFmtId="9" fontId="28" fillId="0" borderId="0" xfId="11" applyFont="1" applyAlignment="1">
      <alignment horizontal="center"/>
    </xf>
    <xf numFmtId="0" fontId="24" fillId="13" borderId="0" xfId="10" applyFont="1" applyFill="1" applyAlignment="1">
      <alignment horizontal="center"/>
    </xf>
    <xf numFmtId="0" fontId="32" fillId="9" borderId="15" xfId="10" applyFont="1" applyFill="1" applyBorder="1" applyAlignment="1">
      <alignment horizontal="center"/>
    </xf>
    <xf numFmtId="9" fontId="32" fillId="9" borderId="15" xfId="11" applyFont="1" applyFill="1" applyBorder="1" applyAlignment="1">
      <alignment horizontal="center"/>
    </xf>
    <xf numFmtId="0" fontId="32" fillId="0" borderId="0" xfId="10" applyFont="1"/>
    <xf numFmtId="3" fontId="24" fillId="0" borderId="0" xfId="10" applyNumberFormat="1" applyFont="1" applyAlignment="1">
      <alignment horizontal="center"/>
    </xf>
    <xf numFmtId="0" fontId="30" fillId="12" borderId="15" xfId="10" applyFont="1" applyFill="1" applyBorder="1" applyAlignment="1">
      <alignment horizontal="left"/>
    </xf>
    <xf numFmtId="9" fontId="29" fillId="0" borderId="0" xfId="10" applyNumberFormat="1" applyFont="1" applyAlignment="1">
      <alignment horizontal="center"/>
    </xf>
    <xf numFmtId="9" fontId="32" fillId="9" borderId="15" xfId="10" applyNumberFormat="1" applyFont="1" applyFill="1" applyBorder="1" applyAlignment="1">
      <alignment horizontal="center"/>
    </xf>
    <xf numFmtId="0" fontId="24" fillId="0" borderId="26" xfId="2" applyFont="1" applyBorder="1" applyAlignment="1">
      <alignment horizontal="right"/>
    </xf>
    <xf numFmtId="0" fontId="24" fillId="0" borderId="26" xfId="2" applyFont="1" applyBorder="1"/>
    <xf numFmtId="0" fontId="24" fillId="0" borderId="20" xfId="2" applyFont="1" applyBorder="1"/>
    <xf numFmtId="0" fontId="24" fillId="0" borderId="22" xfId="2" applyFont="1" applyBorder="1"/>
    <xf numFmtId="0" fontId="24" fillId="0" borderId="23" xfId="2" applyFont="1" applyBorder="1"/>
    <xf numFmtId="0" fontId="24" fillId="0" borderId="15" xfId="2" applyFont="1" applyBorder="1"/>
    <xf numFmtId="0" fontId="24" fillId="0" borderId="22" xfId="2" applyFont="1" applyBorder="1" applyAlignment="1">
      <alignment horizontal="right"/>
    </xf>
    <xf numFmtId="0" fontId="24" fillId="0" borderId="23" xfId="2" applyFont="1" applyBorder="1" applyAlignment="1">
      <alignment horizontal="right"/>
    </xf>
    <xf numFmtId="0" fontId="25" fillId="0" borderId="20" xfId="2" applyFont="1" applyBorder="1" applyAlignment="1">
      <alignment vertical="center"/>
    </xf>
    <xf numFmtId="0" fontId="25" fillId="0" borderId="20" xfId="2" applyFont="1" applyBorder="1"/>
    <xf numFmtId="0" fontId="24" fillId="0" borderId="1" xfId="2" applyFont="1" applyBorder="1"/>
    <xf numFmtId="0" fontId="24" fillId="0" borderId="31" xfId="2" applyFont="1" applyBorder="1" applyAlignment="1">
      <alignment horizontal="right"/>
    </xf>
    <xf numFmtId="0" fontId="24" fillId="0" borderId="0" xfId="2" applyFont="1"/>
    <xf numFmtId="0" fontId="1" fillId="0" borderId="0" xfId="6" applyAlignment="1">
      <alignment horizontal="center"/>
    </xf>
    <xf numFmtId="9" fontId="10" fillId="0" borderId="0" xfId="0" applyNumberFormat="1" applyFont="1" applyAlignment="1">
      <alignment horizontal="center"/>
    </xf>
    <xf numFmtId="0" fontId="24" fillId="0" borderId="0" xfId="2" applyFont="1"/>
    <xf numFmtId="0" fontId="24" fillId="0" borderId="26" xfId="2" applyFont="1" applyBorder="1" applyAlignment="1">
      <alignment horizontal="right"/>
    </xf>
    <xf numFmtId="0" fontId="24" fillId="0" borderId="26" xfId="2" applyFont="1" applyBorder="1"/>
    <xf numFmtId="172" fontId="10" fillId="0" borderId="0" xfId="6" applyNumberFormat="1" applyFont="1"/>
    <xf numFmtId="0" fontId="1" fillId="0" borderId="0" xfId="6" applyFont="1"/>
    <xf numFmtId="0" fontId="15" fillId="8" borderId="15" xfId="1" applyFont="1" applyFill="1" applyBorder="1"/>
    <xf numFmtId="0" fontId="15" fillId="8" borderId="15" xfId="1" applyFont="1" applyFill="1" applyBorder="1" applyAlignment="1">
      <alignment horizontal="right"/>
    </xf>
    <xf numFmtId="0" fontId="1" fillId="0" borderId="0" xfId="6" applyFont="1" applyAlignment="1">
      <alignment horizontal="center"/>
    </xf>
    <xf numFmtId="0" fontId="1" fillId="0" borderId="0" xfId="0" applyFont="1"/>
    <xf numFmtId="0" fontId="1" fillId="0" borderId="0" xfId="1" applyFont="1"/>
    <xf numFmtId="171" fontId="1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9" fontId="1" fillId="0" borderId="0" xfId="1" applyNumberFormat="1" applyFont="1" applyAlignment="1">
      <alignment horizontal="right"/>
    </xf>
    <xf numFmtId="6" fontId="1" fillId="0" borderId="0" xfId="1" applyNumberFormat="1" applyFont="1" applyAlignment="1">
      <alignment horizontal="right"/>
    </xf>
    <xf numFmtId="0" fontId="33" fillId="0" borderId="0" xfId="2" applyFont="1" applyAlignment="1">
      <alignment horizontal="left" vertical="center"/>
    </xf>
    <xf numFmtId="0" fontId="13" fillId="0" borderId="0" xfId="1" applyFont="1"/>
    <xf numFmtId="6" fontId="1" fillId="0" borderId="0" xfId="6" applyNumberFormat="1" applyFont="1"/>
    <xf numFmtId="8" fontId="1" fillId="0" borderId="0" xfId="6" applyNumberFormat="1" applyFont="1" applyAlignment="1">
      <alignment horizontal="center"/>
    </xf>
    <xf numFmtId="0" fontId="1" fillId="0" borderId="0" xfId="6" applyFont="1" applyAlignment="1">
      <alignment horizontal="left"/>
    </xf>
    <xf numFmtId="0" fontId="1" fillId="0" borderId="2" xfId="6" applyFont="1" applyBorder="1"/>
    <xf numFmtId="6" fontId="1" fillId="0" borderId="2" xfId="6" applyNumberFormat="1" applyFont="1" applyBorder="1"/>
    <xf numFmtId="0" fontId="1" fillId="0" borderId="2" xfId="6" applyFont="1" applyBorder="1" applyAlignment="1">
      <alignment horizontal="center"/>
    </xf>
    <xf numFmtId="0" fontId="1" fillId="0" borderId="2" xfId="6" applyFont="1" applyBorder="1" applyAlignment="1">
      <alignment horizontal="left"/>
    </xf>
    <xf numFmtId="9" fontId="1" fillId="0" borderId="0" xfId="6" applyNumberFormat="1" applyFont="1" applyAlignment="1">
      <alignment horizontal="center"/>
    </xf>
    <xf numFmtId="8" fontId="1" fillId="0" borderId="0" xfId="6" applyNumberFormat="1" applyFont="1"/>
    <xf numFmtId="0" fontId="1" fillId="9" borderId="2" xfId="6" applyFont="1" applyFill="1" applyBorder="1"/>
    <xf numFmtId="6" fontId="1" fillId="9" borderId="2" xfId="6" applyNumberFormat="1" applyFont="1" applyFill="1" applyBorder="1"/>
    <xf numFmtId="0" fontId="1" fillId="0" borderId="3" xfId="6" applyFont="1" applyBorder="1"/>
    <xf numFmtId="0" fontId="1" fillId="0" borderId="4" xfId="6" applyFont="1" applyBorder="1"/>
    <xf numFmtId="6" fontId="1" fillId="0" borderId="5" xfId="6" applyNumberFormat="1" applyFont="1" applyBorder="1"/>
    <xf numFmtId="0" fontId="1" fillId="0" borderId="6" xfId="6" applyFont="1" applyBorder="1"/>
    <xf numFmtId="6" fontId="1" fillId="0" borderId="7" xfId="6" applyNumberFormat="1" applyFont="1" applyBorder="1"/>
    <xf numFmtId="165" fontId="1" fillId="0" borderId="7" xfId="6" applyNumberFormat="1" applyFont="1" applyBorder="1"/>
    <xf numFmtId="0" fontId="1" fillId="0" borderId="8" xfId="6" applyFont="1" applyBorder="1"/>
    <xf numFmtId="0" fontId="1" fillId="0" borderId="9" xfId="6" applyFont="1" applyBorder="1"/>
    <xf numFmtId="170" fontId="1" fillId="0" borderId="10" xfId="6" applyNumberFormat="1" applyFont="1" applyBorder="1"/>
    <xf numFmtId="0" fontId="1" fillId="9" borderId="0" xfId="6" applyFont="1" applyFill="1"/>
    <xf numFmtId="6" fontId="1" fillId="9" borderId="0" xfId="6" applyNumberFormat="1" applyFont="1" applyFill="1"/>
    <xf numFmtId="10" fontId="1" fillId="0" borderId="7" xfId="6" applyNumberFormat="1" applyFont="1" applyBorder="1"/>
    <xf numFmtId="0" fontId="34" fillId="0" borderId="0" xfId="2" applyFont="1"/>
    <xf numFmtId="0" fontId="3" fillId="2" borderId="0" xfId="1" applyFont="1" applyFill="1"/>
    <xf numFmtId="164" fontId="8" fillId="0" borderId="0" xfId="3" applyNumberFormat="1" applyFont="1"/>
    <xf numFmtId="0" fontId="11" fillId="0" borderId="0" xfId="1" applyFont="1"/>
    <xf numFmtId="6" fontId="1" fillId="0" borderId="0" xfId="1" applyNumberFormat="1" applyFont="1"/>
    <xf numFmtId="9" fontId="35" fillId="0" borderId="0" xfId="1" applyNumberFormat="1" applyFont="1"/>
    <xf numFmtId="6" fontId="35" fillId="0" borderId="0" xfId="1" applyNumberFormat="1" applyFont="1"/>
    <xf numFmtId="165" fontId="35" fillId="0" borderId="0" xfId="1" applyNumberFormat="1" applyFont="1"/>
    <xf numFmtId="9" fontId="12" fillId="0" borderId="0" xfId="1" applyNumberFormat="1" applyFont="1"/>
    <xf numFmtId="166" fontId="35" fillId="0" borderId="0" xfId="1" applyNumberFormat="1" applyFont="1"/>
    <xf numFmtId="164" fontId="1" fillId="0" borderId="0" xfId="1" applyNumberFormat="1" applyFont="1"/>
    <xf numFmtId="164" fontId="35" fillId="0" borderId="0" xfId="1" applyNumberFormat="1" applyFont="1"/>
    <xf numFmtId="0" fontId="3" fillId="0" borderId="0" xfId="1" applyFont="1"/>
    <xf numFmtId="0" fontId="35" fillId="0" borderId="0" xfId="1" applyFont="1"/>
    <xf numFmtId="43" fontId="35" fillId="0" borderId="0" xfId="4" applyFont="1" applyFill="1" applyBorder="1"/>
    <xf numFmtId="164" fontId="8" fillId="0" borderId="0" xfId="1" applyNumberFormat="1" applyFont="1"/>
    <xf numFmtId="43" fontId="1" fillId="0" borderId="0" xfId="1" applyNumberFormat="1" applyFont="1"/>
    <xf numFmtId="164" fontId="8" fillId="0" borderId="0" xfId="4" applyNumberFormat="1" applyFont="1"/>
    <xf numFmtId="167" fontId="35" fillId="0" borderId="0" xfId="1" applyNumberFormat="1" applyFont="1"/>
    <xf numFmtId="164" fontId="35" fillId="0" borderId="0" xfId="4" applyNumberFormat="1" applyFont="1"/>
    <xf numFmtId="43" fontId="35" fillId="0" borderId="0" xfId="4" applyFont="1"/>
    <xf numFmtId="9" fontId="1" fillId="0" borderId="0" xfId="1" applyNumberFormat="1" applyFont="1"/>
    <xf numFmtId="43" fontId="1" fillId="0" borderId="0" xfId="4" applyFont="1"/>
    <xf numFmtId="0" fontId="1" fillId="0" borderId="1" xfId="1" applyFont="1" applyBorder="1"/>
    <xf numFmtId="9" fontId="8" fillId="0" borderId="1" xfId="1" applyNumberFormat="1" applyFont="1" applyBorder="1"/>
    <xf numFmtId="6" fontId="1" fillId="0" borderId="1" xfId="1" applyNumberFormat="1" applyFont="1" applyBorder="1"/>
    <xf numFmtId="10" fontId="35" fillId="0" borderId="0" xfId="1" applyNumberFormat="1" applyFont="1"/>
    <xf numFmtId="6" fontId="8" fillId="0" borderId="0" xfId="1" applyNumberFormat="1" applyFont="1"/>
    <xf numFmtId="168" fontId="3" fillId="2" borderId="0" xfId="1" applyNumberFormat="1" applyFont="1" applyFill="1" applyAlignment="1">
      <alignment horizontal="center"/>
    </xf>
    <xf numFmtId="0" fontId="1" fillId="0" borderId="2" xfId="1" applyFont="1" applyBorder="1"/>
    <xf numFmtId="6" fontId="1" fillId="0" borderId="2" xfId="1" applyNumberFormat="1" applyFont="1" applyBorder="1"/>
    <xf numFmtId="169" fontId="3" fillId="2" borderId="0" xfId="1" applyNumberFormat="1" applyFont="1" applyFill="1" applyAlignment="1">
      <alignment horizontal="center"/>
    </xf>
    <xf numFmtId="0" fontId="36" fillId="0" borderId="0" xfId="1" applyFont="1"/>
    <xf numFmtId="9" fontId="36" fillId="0" borderId="0" xfId="1" applyNumberFormat="1" applyFont="1" applyAlignment="1">
      <alignment horizontal="center"/>
    </xf>
    <xf numFmtId="172" fontId="1" fillId="0" borderId="0" xfId="0" applyNumberFormat="1" applyFont="1"/>
    <xf numFmtId="0" fontId="1" fillId="3" borderId="0" xfId="1" applyFont="1" applyFill="1"/>
    <xf numFmtId="0" fontId="1" fillId="9" borderId="0" xfId="1" applyFont="1" applyFill="1"/>
    <xf numFmtId="6" fontId="1" fillId="9" borderId="0" xfId="1" applyNumberFormat="1" applyFont="1" applyFill="1"/>
    <xf numFmtId="0" fontId="1" fillId="0" borderId="3" xfId="1" applyFont="1" applyBorder="1"/>
    <xf numFmtId="0" fontId="1" fillId="0" borderId="4" xfId="1" applyFont="1" applyBorder="1"/>
    <xf numFmtId="6" fontId="1" fillId="0" borderId="5" xfId="1" applyNumberFormat="1" applyFont="1" applyBorder="1"/>
    <xf numFmtId="0" fontId="1" fillId="0" borderId="6" xfId="1" applyFont="1" applyBorder="1"/>
    <xf numFmtId="8" fontId="1" fillId="0" borderId="7" xfId="1" applyNumberFormat="1" applyFont="1" applyBorder="1"/>
    <xf numFmtId="8" fontId="1" fillId="0" borderId="0" xfId="1" applyNumberFormat="1" applyFont="1"/>
    <xf numFmtId="10" fontId="1" fillId="0" borderId="7" xfId="1" applyNumberFormat="1" applyFont="1" applyBorder="1"/>
    <xf numFmtId="0" fontId="1" fillId="0" borderId="8" xfId="1" applyFont="1" applyBorder="1"/>
    <xf numFmtId="0" fontId="1" fillId="0" borderId="9" xfId="1" applyFont="1" applyBorder="1"/>
    <xf numFmtId="170" fontId="1" fillId="0" borderId="10" xfId="1" applyNumberFormat="1" applyFont="1" applyBorder="1"/>
    <xf numFmtId="165" fontId="1" fillId="0" borderId="7" xfId="1" applyNumberFormat="1" applyFont="1" applyBorder="1"/>
    <xf numFmtId="10" fontId="1" fillId="0" borderId="0" xfId="1" applyNumberFormat="1" applyFont="1"/>
    <xf numFmtId="6" fontId="1" fillId="0" borderId="7" xfId="1" applyNumberFormat="1" applyFont="1" applyBorder="1"/>
    <xf numFmtId="9" fontId="28" fillId="0" borderId="0" xfId="12" applyFont="1" applyAlignment="1">
      <alignment horizontal="center"/>
    </xf>
    <xf numFmtId="9" fontId="28" fillId="14" borderId="15" xfId="12" applyFont="1" applyFill="1" applyBorder="1" applyAlignment="1">
      <alignment horizontal="center"/>
    </xf>
    <xf numFmtId="171" fontId="28" fillId="0" borderId="0" xfId="10" applyNumberFormat="1" applyFont="1"/>
    <xf numFmtId="171" fontId="28" fillId="0" borderId="0" xfId="10" applyNumberFormat="1" applyFont="1" applyAlignment="1">
      <alignment horizontal="center"/>
    </xf>
    <xf numFmtId="171" fontId="28" fillId="14" borderId="15" xfId="10" applyNumberFormat="1" applyFont="1" applyFill="1" applyBorder="1" applyAlignment="1">
      <alignment horizontal="center"/>
    </xf>
    <xf numFmtId="171" fontId="16" fillId="0" borderId="0" xfId="0" applyNumberFormat="1" applyFont="1" applyBorder="1"/>
    <xf numFmtId="44" fontId="16" fillId="0" borderId="0" xfId="9" applyFont="1" applyBorder="1" applyAlignment="1"/>
    <xf numFmtId="43" fontId="16" fillId="0" borderId="0" xfId="8" applyFont="1" applyBorder="1" applyAlignment="1"/>
    <xf numFmtId="9" fontId="12" fillId="0" borderId="0" xfId="6" applyNumberFormat="1" applyFont="1" applyAlignment="1">
      <alignment horizontal="center"/>
    </xf>
    <xf numFmtId="171" fontId="1" fillId="0" borderId="0" xfId="6" applyNumberFormat="1" applyFont="1" applyAlignment="1"/>
    <xf numFmtId="9" fontId="12" fillId="0" borderId="0" xfId="1" applyNumberFormat="1" applyFont="1" applyAlignment="1">
      <alignment horizontal="center"/>
    </xf>
    <xf numFmtId="9" fontId="12" fillId="0" borderId="0" xfId="6" applyNumberFormat="1" applyFont="1"/>
    <xf numFmtId="0" fontId="1" fillId="0" borderId="0" xfId="2" applyFont="1" applyAlignment="1">
      <alignment horizontal="right"/>
    </xf>
    <xf numFmtId="9" fontId="10" fillId="4" borderId="11" xfId="2" applyNumberFormat="1" applyFont="1" applyFill="1" applyBorder="1" applyAlignment="1">
      <alignment horizontal="center"/>
    </xf>
    <xf numFmtId="171" fontId="10" fillId="4" borderId="11" xfId="2" applyNumberFormat="1" applyFont="1" applyFill="1" applyBorder="1" applyAlignment="1">
      <alignment horizontal="center"/>
    </xf>
    <xf numFmtId="0" fontId="1" fillId="5" borderId="11" xfId="2" applyFont="1" applyFill="1" applyBorder="1" applyAlignment="1">
      <alignment horizontal="center"/>
    </xf>
    <xf numFmtId="9" fontId="1" fillId="0" borderId="11" xfId="5" applyFont="1" applyBorder="1" applyAlignment="1">
      <alignment horizontal="center"/>
    </xf>
    <xf numFmtId="171" fontId="1" fillId="0" borderId="11" xfId="2" applyNumberFormat="1" applyFont="1" applyBorder="1" applyAlignment="1">
      <alignment horizontal="center"/>
    </xf>
    <xf numFmtId="172" fontId="1" fillId="5" borderId="11" xfId="2" applyNumberFormat="1" applyFont="1" applyFill="1" applyBorder="1" applyAlignment="1">
      <alignment horizontal="center"/>
    </xf>
    <xf numFmtId="43" fontId="1" fillId="0" borderId="0" xfId="4" applyFont="1" applyAlignment="1">
      <alignment horizontal="right"/>
    </xf>
    <xf numFmtId="0" fontId="1" fillId="0" borderId="0" xfId="1" applyFont="1" applyAlignment="1">
      <alignment horizontal="center"/>
    </xf>
    <xf numFmtId="0" fontId="37" fillId="0" borderId="0" xfId="2" applyFont="1" applyAlignment="1">
      <alignment horizontal="left" vertical="center"/>
    </xf>
    <xf numFmtId="0" fontId="11" fillId="0" borderId="0" xfId="1" applyFont="1" applyAlignment="1">
      <alignment horizontal="center"/>
    </xf>
    <xf numFmtId="9" fontId="10" fillId="0" borderId="0" xfId="1" applyNumberFormat="1" applyFont="1"/>
    <xf numFmtId="164" fontId="10" fillId="0" borderId="0" xfId="1" applyNumberFormat="1" applyFont="1"/>
    <xf numFmtId="0" fontId="12" fillId="0" borderId="0" xfId="1" applyFont="1"/>
    <xf numFmtId="167" fontId="12" fillId="0" borderId="0" xfId="1" applyNumberFormat="1" applyFont="1"/>
    <xf numFmtId="9" fontId="1" fillId="0" borderId="2" xfId="1" applyNumberFormat="1" applyFont="1" applyBorder="1"/>
    <xf numFmtId="6" fontId="1" fillId="0" borderId="12" xfId="1" applyNumberFormat="1" applyFont="1" applyBorder="1"/>
    <xf numFmtId="169" fontId="3" fillId="2" borderId="0" xfId="1" applyNumberFormat="1" applyFont="1" applyFill="1" applyAlignment="1">
      <alignment horizontal="right"/>
    </xf>
    <xf numFmtId="9" fontId="36" fillId="0" borderId="0" xfId="1" applyNumberFormat="1" applyFont="1" applyAlignment="1">
      <alignment horizontal="right"/>
    </xf>
    <xf numFmtId="6" fontId="1" fillId="0" borderId="2" xfId="1" applyNumberFormat="1" applyFont="1" applyBorder="1" applyAlignment="1">
      <alignment horizontal="right"/>
    </xf>
    <xf numFmtId="6" fontId="1" fillId="0" borderId="1" xfId="1" applyNumberFormat="1" applyFont="1" applyBorder="1" applyAlignment="1">
      <alignment horizontal="right"/>
    </xf>
    <xf numFmtId="6" fontId="1" fillId="9" borderId="0" xfId="1" applyNumberFormat="1" applyFont="1" applyFill="1" applyAlignment="1">
      <alignment horizontal="right"/>
    </xf>
    <xf numFmtId="8" fontId="1" fillId="0" borderId="0" xfId="1" applyNumberFormat="1" applyFont="1" applyAlignment="1">
      <alignment horizontal="right"/>
    </xf>
    <xf numFmtId="6" fontId="1" fillId="3" borderId="0" xfId="1" applyNumberFormat="1" applyFont="1" applyFill="1"/>
    <xf numFmtId="0" fontId="3" fillId="2" borderId="0" xfId="1" applyFont="1" applyFill="1" applyAlignment="1">
      <alignment horizontal="right"/>
    </xf>
    <xf numFmtId="10" fontId="1" fillId="0" borderId="0" xfId="1" applyNumberFormat="1" applyFont="1" applyAlignment="1">
      <alignment horizontal="right"/>
    </xf>
    <xf numFmtId="0" fontId="1" fillId="9" borderId="15" xfId="1" applyFont="1" applyFill="1" applyBorder="1"/>
    <xf numFmtId="171" fontId="1" fillId="9" borderId="15" xfId="1" applyNumberFormat="1" applyFont="1" applyFill="1" applyBorder="1" applyAlignment="1">
      <alignment horizontal="right"/>
    </xf>
    <xf numFmtId="6" fontId="29" fillId="0" borderId="0" xfId="10" applyNumberFormat="1" applyFont="1" applyAlignment="1">
      <alignment horizontal="center"/>
    </xf>
    <xf numFmtId="0" fontId="28" fillId="0" borderId="0" xfId="10" applyFont="1" applyAlignment="1">
      <alignment horizontal="right"/>
    </xf>
    <xf numFmtId="0" fontId="0" fillId="0" borderId="0" xfId="6" applyFont="1" applyAlignment="1">
      <alignment horizontal="left"/>
    </xf>
    <xf numFmtId="0" fontId="0" fillId="0" borderId="1" xfId="1" applyFont="1" applyBorder="1"/>
    <xf numFmtId="9" fontId="12" fillId="0" borderId="1" xfId="1" applyNumberFormat="1" applyFont="1" applyBorder="1" applyAlignment="1">
      <alignment horizontal="center"/>
    </xf>
    <xf numFmtId="0" fontId="24" fillId="0" borderId="22" xfId="2" applyFont="1" applyBorder="1" applyAlignment="1"/>
    <xf numFmtId="0" fontId="24" fillId="0" borderId="26" xfId="2" applyFont="1" applyBorder="1" applyAlignment="1"/>
    <xf numFmtId="0" fontId="24" fillId="0" borderId="20" xfId="2" applyFont="1" applyBorder="1" applyAlignment="1"/>
    <xf numFmtId="0" fontId="24" fillId="0" borderId="23" xfId="2" applyFont="1" applyBorder="1" applyAlignment="1"/>
    <xf numFmtId="0" fontId="24" fillId="0" borderId="15" xfId="2" applyFont="1" applyBorder="1" applyAlignment="1"/>
    <xf numFmtId="0" fontId="24" fillId="0" borderId="26" xfId="2" applyFont="1" applyBorder="1" applyAlignment="1">
      <alignment vertical="center"/>
    </xf>
    <xf numFmtId="0" fontId="25" fillId="0" borderId="20" xfId="2" applyFont="1" applyBorder="1" applyAlignment="1"/>
    <xf numFmtId="0" fontId="24" fillId="0" borderId="1" xfId="2" applyFont="1" applyBorder="1" applyAlignment="1">
      <alignment vertical="center"/>
    </xf>
    <xf numFmtId="0" fontId="24" fillId="0" borderId="1" xfId="2" applyFont="1" applyBorder="1" applyAlignment="1"/>
    <xf numFmtId="0" fontId="24" fillId="0" borderId="31" xfId="2" applyFont="1" applyBorder="1" applyAlignment="1"/>
    <xf numFmtId="0" fontId="24" fillId="0" borderId="25" xfId="2" applyFont="1" applyBorder="1" applyAlignment="1">
      <alignment vertical="center"/>
    </xf>
    <xf numFmtId="0" fontId="24" fillId="0" borderId="28" xfId="2" applyFont="1" applyBorder="1" applyAlignment="1">
      <alignment vertical="center"/>
    </xf>
    <xf numFmtId="0" fontId="24" fillId="0" borderId="2" xfId="2" applyFont="1" applyBorder="1" applyAlignment="1">
      <alignment horizontal="center"/>
    </xf>
    <xf numFmtId="0" fontId="25" fillId="0" borderId="19" xfId="2" applyFont="1" applyBorder="1" applyAlignment="1">
      <alignment horizontal="center"/>
    </xf>
    <xf numFmtId="0" fontId="0" fillId="0" borderId="0" xfId="1" applyFont="1"/>
    <xf numFmtId="6" fontId="8" fillId="0" borderId="0" xfId="6" applyNumberFormat="1" applyFont="1"/>
    <xf numFmtId="0" fontId="8" fillId="0" borderId="0" xfId="6" applyFont="1"/>
    <xf numFmtId="6" fontId="24" fillId="11" borderId="29" xfId="2" applyNumberFormat="1" applyFont="1" applyFill="1" applyBorder="1"/>
    <xf numFmtId="6" fontId="24" fillId="11" borderId="0" xfId="2" applyNumberFormat="1" applyFont="1" applyFill="1"/>
    <xf numFmtId="1" fontId="38" fillId="8" borderId="1" xfId="2" applyNumberFormat="1" applyFont="1" applyFill="1" applyBorder="1" applyAlignment="1">
      <alignment horizontal="center"/>
    </xf>
    <xf numFmtId="1" fontId="38" fillId="17" borderId="1" xfId="2" applyNumberFormat="1" applyFont="1" applyFill="1" applyBorder="1" applyAlignment="1">
      <alignment horizontal="center"/>
    </xf>
    <xf numFmtId="1" fontId="24" fillId="0" borderId="19" xfId="2" applyNumberFormat="1" applyFont="1" applyBorder="1"/>
    <xf numFmtId="1" fontId="24" fillId="0" borderId="20" xfId="2" applyNumberFormat="1" applyFont="1" applyBorder="1"/>
    <xf numFmtId="1" fontId="24" fillId="0" borderId="20" xfId="2" applyNumberFormat="1" applyFont="1" applyBorder="1" applyAlignment="1"/>
    <xf numFmtId="10" fontId="39" fillId="0" borderId="26" xfId="2" applyNumberFormat="1" applyFont="1" applyBorder="1" applyAlignment="1">
      <alignment horizontal="center"/>
    </xf>
    <xf numFmtId="9" fontId="39" fillId="0" borderId="26" xfId="2" applyNumberFormat="1" applyFont="1" applyBorder="1" applyAlignment="1">
      <alignment horizontal="center"/>
    </xf>
    <xf numFmtId="6" fontId="24" fillId="0" borderId="32" xfId="2" applyNumberFormat="1" applyFont="1" applyBorder="1"/>
    <xf numFmtId="6" fontId="24" fillId="0" borderId="17" xfId="2" applyNumberFormat="1" applyFont="1" applyBorder="1"/>
    <xf numFmtId="0" fontId="5" fillId="0" borderId="0" xfId="2" applyFont="1"/>
    <xf numFmtId="0" fontId="24" fillId="0" borderId="0" xfId="2" applyFont="1" applyBorder="1" applyAlignment="1">
      <alignment vertical="center"/>
    </xf>
    <xf numFmtId="0" fontId="24" fillId="0" borderId="0" xfId="2" applyFont="1" applyBorder="1" applyAlignment="1"/>
    <xf numFmtId="175" fontId="24" fillId="0" borderId="27" xfId="2" applyNumberFormat="1" applyFont="1" applyBorder="1"/>
    <xf numFmtId="175" fontId="24" fillId="0" borderId="26" xfId="2" applyNumberFormat="1" applyFont="1" applyBorder="1"/>
    <xf numFmtId="175" fontId="24" fillId="0" borderId="26" xfId="2" applyNumberFormat="1" applyFont="1" applyBorder="1" applyAlignment="1"/>
    <xf numFmtId="175" fontId="24" fillId="0" borderId="21" xfId="2" applyNumberFormat="1" applyFont="1" applyBorder="1"/>
    <xf numFmtId="175" fontId="24" fillId="0" borderId="1" xfId="2" applyNumberFormat="1" applyFont="1" applyBorder="1"/>
    <xf numFmtId="175" fontId="24" fillId="0" borderId="22" xfId="2" applyNumberFormat="1" applyFont="1" applyBorder="1" applyAlignment="1"/>
    <xf numFmtId="175" fontId="24" fillId="0" borderId="15" xfId="2" applyNumberFormat="1" applyFont="1" applyBorder="1"/>
    <xf numFmtId="175" fontId="24" fillId="0" borderId="29" xfId="2" applyNumberFormat="1" applyFont="1" applyBorder="1"/>
    <xf numFmtId="175" fontId="24" fillId="0" borderId="0" xfId="2" applyNumberFormat="1" applyFont="1"/>
    <xf numFmtId="175" fontId="24" fillId="0" borderId="26" xfId="2" applyNumberFormat="1" applyFont="1" applyBorder="1" applyAlignment="1">
      <alignment horizontal="center"/>
    </xf>
    <xf numFmtId="175" fontId="24" fillId="0" borderId="1" xfId="2" applyNumberFormat="1" applyFont="1" applyBorder="1" applyAlignment="1">
      <alignment horizontal="center"/>
    </xf>
    <xf numFmtId="175" fontId="24" fillId="0" borderId="0" xfId="2" applyNumberFormat="1" applyFont="1" applyAlignment="1">
      <alignment horizontal="center"/>
    </xf>
    <xf numFmtId="175" fontId="25" fillId="0" borderId="23" xfId="2" applyNumberFormat="1" applyFont="1" applyBorder="1" applyAlignment="1">
      <alignment horizontal="center"/>
    </xf>
    <xf numFmtId="175" fontId="24" fillId="0" borderId="23" xfId="2" applyNumberFormat="1" applyFont="1" applyBorder="1"/>
    <xf numFmtId="175" fontId="24" fillId="0" borderId="23" xfId="2" applyNumberFormat="1" applyFont="1" applyBorder="1" applyAlignment="1"/>
    <xf numFmtId="8" fontId="24" fillId="0" borderId="2" xfId="2" applyNumberFormat="1" applyFont="1" applyBorder="1"/>
    <xf numFmtId="9" fontId="24" fillId="0" borderId="22" xfId="12" applyFont="1" applyBorder="1" applyAlignment="1"/>
    <xf numFmtId="9" fontId="24" fillId="0" borderId="0" xfId="12" applyFont="1" applyBorder="1" applyAlignment="1"/>
    <xf numFmtId="9" fontId="24" fillId="0" borderId="23" xfId="12" applyFont="1" applyBorder="1" applyAlignment="1"/>
    <xf numFmtId="9" fontId="24" fillId="0" borderId="20" xfId="12" applyFont="1" applyBorder="1" applyAlignment="1"/>
    <xf numFmtId="9" fontId="24" fillId="0" borderId="15" xfId="12" applyFont="1" applyBorder="1" applyAlignment="1"/>
    <xf numFmtId="6" fontId="24" fillId="0" borderId="0" xfId="2" applyNumberFormat="1" applyFont="1"/>
    <xf numFmtId="165" fontId="24" fillId="0" borderId="1" xfId="2" applyNumberFormat="1" applyFont="1" applyBorder="1" applyAlignment="1">
      <alignment horizontal="center"/>
    </xf>
    <xf numFmtId="9" fontId="24" fillId="0" borderId="1" xfId="12" applyFont="1" applyBorder="1" applyAlignment="1">
      <alignment horizontal="center"/>
    </xf>
    <xf numFmtId="175" fontId="24" fillId="0" borderId="15" xfId="2" applyNumberFormat="1" applyFont="1" applyBorder="1" applyAlignment="1"/>
    <xf numFmtId="0" fontId="38" fillId="8" borderId="1" xfId="2" applyFont="1" applyFill="1" applyBorder="1" applyAlignment="1">
      <alignment horizontal="center"/>
    </xf>
    <xf numFmtId="0" fontId="38" fillId="17" borderId="1" xfId="2" applyFont="1" applyFill="1" applyBorder="1" applyAlignment="1">
      <alignment horizontal="center"/>
    </xf>
    <xf numFmtId="3" fontId="24" fillId="0" borderId="26" xfId="2" applyNumberFormat="1" applyFont="1" applyBorder="1"/>
    <xf numFmtId="3" fontId="24" fillId="0" borderId="22" xfId="2" applyNumberFormat="1" applyFont="1" applyBorder="1"/>
    <xf numFmtId="0" fontId="28" fillId="0" borderId="0" xfId="0" applyFont="1"/>
    <xf numFmtId="0" fontId="28" fillId="0" borderId="0" xfId="0" applyFont="1" applyAlignment="1">
      <alignment horizontal="left"/>
    </xf>
    <xf numFmtId="9" fontId="39" fillId="0" borderId="0" xfId="0" applyNumberFormat="1" applyFont="1" applyAlignment="1">
      <alignment horizontal="right"/>
    </xf>
    <xf numFmtId="0" fontId="28" fillId="0" borderId="0" xfId="0" applyFont="1" applyAlignment="1">
      <alignment horizontal="right"/>
    </xf>
    <xf numFmtId="0" fontId="31" fillId="8" borderId="15" xfId="0" applyFont="1" applyFill="1" applyBorder="1" applyAlignment="1">
      <alignment horizontal="center"/>
    </xf>
    <xf numFmtId="0" fontId="31" fillId="8" borderId="15" xfId="0" applyFont="1" applyFill="1" applyBorder="1"/>
    <xf numFmtId="0" fontId="31" fillId="8" borderId="15" xfId="0" applyFont="1" applyFill="1" applyBorder="1" applyAlignment="1">
      <alignment horizontal="right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71" fontId="24" fillId="0" borderId="0" xfId="0" applyNumberFormat="1" applyFont="1" applyAlignment="1">
      <alignment horizontal="center"/>
    </xf>
    <xf numFmtId="172" fontId="39" fillId="0" borderId="0" xfId="0" applyNumberFormat="1" applyFont="1" applyAlignment="1">
      <alignment horizontal="center"/>
    </xf>
    <xf numFmtId="9" fontId="39" fillId="0" borderId="0" xfId="12" applyFont="1" applyAlignment="1">
      <alignment horizontal="center"/>
    </xf>
    <xf numFmtId="172" fontId="24" fillId="0" borderId="0" xfId="0" applyNumberFormat="1" applyFont="1" applyAlignment="1">
      <alignment horizontal="center"/>
    </xf>
    <xf numFmtId="6" fontId="39" fillId="0" borderId="0" xfId="1" applyNumberFormat="1" applyFont="1"/>
    <xf numFmtId="171" fontId="28" fillId="0" borderId="0" xfId="0" applyNumberFormat="1" applyFont="1" applyAlignment="1">
      <alignment horizontal="center"/>
    </xf>
    <xf numFmtId="171" fontId="39" fillId="0" borderId="0" xfId="0" applyNumberFormat="1" applyFont="1" applyAlignment="1">
      <alignment horizontal="center"/>
    </xf>
    <xf numFmtId="171" fontId="39" fillId="0" borderId="0" xfId="0" applyNumberFormat="1" applyFont="1" applyAlignment="1">
      <alignment horizontal="right"/>
    </xf>
    <xf numFmtId="171" fontId="28" fillId="0" borderId="0" xfId="0" applyNumberFormat="1" applyFont="1" applyAlignment="1">
      <alignment horizontal="right"/>
    </xf>
    <xf numFmtId="10" fontId="29" fillId="0" borderId="0" xfId="10" applyNumberFormat="1" applyFont="1"/>
    <xf numFmtId="9" fontId="29" fillId="0" borderId="0" xfId="10" applyNumberFormat="1" applyFont="1"/>
    <xf numFmtId="0" fontId="24" fillId="9" borderId="15" xfId="2" applyFont="1" applyFill="1" applyBorder="1" applyAlignment="1"/>
    <xf numFmtId="164" fontId="8" fillId="7" borderId="0" xfId="4" applyNumberFormat="1" applyFont="1" applyFill="1"/>
    <xf numFmtId="174" fontId="10" fillId="7" borderId="0" xfId="1" applyNumberFormat="1" applyFont="1" applyFill="1" applyAlignment="1">
      <alignment horizontal="right"/>
    </xf>
    <xf numFmtId="6" fontId="8" fillId="7" borderId="0" xfId="1" applyNumberFormat="1" applyFont="1" applyFill="1"/>
    <xf numFmtId="6" fontId="1" fillId="7" borderId="0" xfId="1" applyNumberFormat="1" applyFont="1" applyFill="1"/>
    <xf numFmtId="164" fontId="8" fillId="7" borderId="0" xfId="7" applyNumberFormat="1" applyFont="1" applyFill="1"/>
    <xf numFmtId="174" fontId="10" fillId="7" borderId="0" xfId="1" applyNumberFormat="1" applyFont="1" applyFill="1" applyAlignment="1">
      <alignment horizontal="center"/>
    </xf>
    <xf numFmtId="6" fontId="8" fillId="7" borderId="0" xfId="6" applyNumberFormat="1" applyFont="1" applyFill="1"/>
    <xf numFmtId="166" fontId="35" fillId="7" borderId="0" xfId="1" applyNumberFormat="1" applyFont="1" applyFill="1"/>
    <xf numFmtId="0" fontId="1" fillId="7" borderId="0" xfId="1" applyFont="1" applyFill="1"/>
    <xf numFmtId="164" fontId="10" fillId="7" borderId="0" xfId="4" applyNumberFormat="1" applyFont="1" applyFill="1"/>
    <xf numFmtId="6" fontId="10" fillId="7" borderId="0" xfId="1" applyNumberFormat="1" applyFont="1" applyFill="1"/>
    <xf numFmtId="172" fontId="10" fillId="7" borderId="0" xfId="6" applyNumberFormat="1" applyFont="1" applyFill="1"/>
    <xf numFmtId="164" fontId="10" fillId="7" borderId="0" xfId="7" applyNumberFormat="1" applyFont="1" applyFill="1"/>
    <xf numFmtId="6" fontId="10" fillId="7" borderId="0" xfId="6" applyNumberFormat="1" applyFont="1" applyFill="1"/>
    <xf numFmtId="0" fontId="40" fillId="0" borderId="20" xfId="2" applyFont="1" applyBorder="1" applyAlignment="1">
      <alignment horizontal="center"/>
    </xf>
    <xf numFmtId="0" fontId="24" fillId="0" borderId="26" xfId="2" applyFont="1" applyBorder="1" applyAlignment="1">
      <alignment horizontal="right"/>
    </xf>
    <xf numFmtId="175" fontId="24" fillId="0" borderId="26" xfId="2" applyNumberFormat="1" applyFont="1" applyBorder="1" applyAlignment="1"/>
    <xf numFmtId="0" fontId="24" fillId="0" borderId="15" xfId="2" applyFont="1" applyBorder="1"/>
    <xf numFmtId="171" fontId="8" fillId="4" borderId="11" xfId="2" applyNumberFormat="1" applyFont="1" applyFill="1" applyBorder="1" applyAlignment="1">
      <alignment horizontal="center"/>
    </xf>
    <xf numFmtId="9" fontId="39" fillId="0" borderId="0" xfId="10" applyNumberFormat="1" applyFont="1" applyAlignment="1">
      <alignment horizontal="center"/>
    </xf>
    <xf numFmtId="9" fontId="12" fillId="0" borderId="11" xfId="2" applyNumberFormat="1" applyFont="1" applyBorder="1" applyAlignment="1">
      <alignment horizontal="center"/>
    </xf>
    <xf numFmtId="10" fontId="39" fillId="0" borderId="0" xfId="10" applyNumberFormat="1" applyFont="1"/>
    <xf numFmtId="175" fontId="24" fillId="0" borderId="15" xfId="2" applyNumberFormat="1" applyFont="1" applyBorder="1" applyAlignment="1">
      <alignment horizontal="center"/>
    </xf>
    <xf numFmtId="9" fontId="24" fillId="0" borderId="23" xfId="12" applyFont="1" applyBorder="1" applyAlignment="1">
      <alignment horizontal="center"/>
    </xf>
    <xf numFmtId="9" fontId="39" fillId="0" borderId="24" xfId="12" applyFont="1" applyBorder="1" applyAlignment="1">
      <alignment horizontal="center"/>
    </xf>
    <xf numFmtId="9" fontId="39" fillId="0" borderId="23" xfId="12" applyFont="1" applyBorder="1" applyAlignment="1">
      <alignment horizontal="center"/>
    </xf>
    <xf numFmtId="0" fontId="31" fillId="8" borderId="15" xfId="2" applyFont="1" applyFill="1" applyBorder="1"/>
    <xf numFmtId="0" fontId="31" fillId="8" borderId="15" xfId="2" applyFont="1" applyFill="1" applyBorder="1" applyAlignment="1">
      <alignment horizontal="center"/>
    </xf>
    <xf numFmtId="8" fontId="28" fillId="0" borderId="0" xfId="10" applyNumberFormat="1" applyFont="1"/>
    <xf numFmtId="8" fontId="29" fillId="0" borderId="0" xfId="10" applyNumberFormat="1" applyFont="1"/>
    <xf numFmtId="171" fontId="32" fillId="9" borderId="15" xfId="10" applyNumberFormat="1" applyFont="1" applyFill="1" applyBorder="1" applyAlignment="1">
      <alignment horizontal="center"/>
    </xf>
    <xf numFmtId="0" fontId="3" fillId="2" borderId="15" xfId="1" applyFont="1" applyFill="1" applyBorder="1"/>
    <xf numFmtId="6" fontId="12" fillId="0" borderId="0" xfId="1" applyNumberFormat="1" applyFont="1"/>
    <xf numFmtId="3" fontId="24" fillId="0" borderId="0" xfId="2" applyNumberFormat="1" applyFont="1"/>
    <xf numFmtId="0" fontId="3" fillId="2" borderId="15" xfId="6" applyFont="1" applyFill="1" applyBorder="1"/>
    <xf numFmtId="0" fontId="22" fillId="10" borderId="15" xfId="2" applyFont="1" applyFill="1" applyBorder="1" applyAlignment="1">
      <alignment vertical="center"/>
    </xf>
    <xf numFmtId="0" fontId="23" fillId="10" borderId="15" xfId="2" applyFont="1" applyFill="1" applyBorder="1" applyAlignment="1">
      <alignment vertical="center"/>
    </xf>
    <xf numFmtId="0" fontId="24" fillId="10" borderId="15" xfId="2" applyFont="1" applyFill="1" applyBorder="1" applyAlignment="1">
      <alignment vertical="center"/>
    </xf>
    <xf numFmtId="0" fontId="22" fillId="10" borderId="17" xfId="2" applyFont="1" applyFill="1" applyBorder="1" applyAlignment="1">
      <alignment horizontal="center" vertical="center"/>
    </xf>
    <xf numFmtId="0" fontId="22" fillId="10" borderId="18" xfId="2" quotePrefix="1" applyFont="1" applyFill="1" applyBorder="1" applyAlignment="1">
      <alignment horizontal="center" vertical="center"/>
    </xf>
    <xf numFmtId="0" fontId="32" fillId="0" borderId="0" xfId="0" applyFont="1"/>
    <xf numFmtId="3" fontId="24" fillId="0" borderId="26" xfId="2" quotePrefix="1" applyNumberFormat="1" applyFont="1" applyBorder="1"/>
    <xf numFmtId="0" fontId="13" fillId="7" borderId="0" xfId="0" applyFont="1" applyFill="1"/>
    <xf numFmtId="0" fontId="0" fillId="7" borderId="0" xfId="0" applyFill="1"/>
    <xf numFmtId="171" fontId="0" fillId="7" borderId="0" xfId="0" applyNumberFormat="1" applyFill="1"/>
    <xf numFmtId="165" fontId="0" fillId="7" borderId="0" xfId="0" applyNumberFormat="1" applyFill="1"/>
    <xf numFmtId="0" fontId="0" fillId="7" borderId="0" xfId="0" applyFill="1" applyAlignment="1">
      <alignment horizontal="right"/>
    </xf>
    <xf numFmtId="171" fontId="0" fillId="7" borderId="0" xfId="0" applyNumberFormat="1" applyFill="1" applyAlignment="1">
      <alignment horizontal="right"/>
    </xf>
    <xf numFmtId="9" fontId="0" fillId="7" borderId="0" xfId="12" applyFont="1" applyFill="1" applyAlignment="1">
      <alignment horizontal="right"/>
    </xf>
    <xf numFmtId="0" fontId="24" fillId="0" borderId="0" xfId="2" applyFont="1" applyAlignment="1">
      <alignment horizontal="right"/>
    </xf>
    <xf numFmtId="171" fontId="13" fillId="7" borderId="0" xfId="0" applyNumberFormat="1" applyFont="1" applyFill="1" applyAlignment="1">
      <alignment horizontal="right"/>
    </xf>
    <xf numFmtId="9" fontId="13" fillId="7" borderId="0" xfId="12" applyFont="1" applyFill="1" applyAlignment="1">
      <alignment horizontal="right"/>
    </xf>
    <xf numFmtId="0" fontId="13" fillId="7" borderId="0" xfId="0" applyFont="1" applyFill="1" applyAlignment="1">
      <alignment horizontal="right"/>
    </xf>
    <xf numFmtId="0" fontId="24" fillId="0" borderId="26" xfId="2" applyFont="1" applyBorder="1" applyAlignment="1">
      <alignment horizontal="right"/>
    </xf>
    <xf numFmtId="0" fontId="25" fillId="0" borderId="22" xfId="2" applyFont="1" applyBorder="1" applyAlignment="1">
      <alignment horizontal="left"/>
    </xf>
    <xf numFmtId="0" fontId="22" fillId="10" borderId="0" xfId="2" applyFont="1" applyFill="1" applyAlignment="1">
      <alignment vertical="center"/>
    </xf>
    <xf numFmtId="0" fontId="23" fillId="10" borderId="0" xfId="2" applyFont="1" applyFill="1" applyAlignment="1">
      <alignment vertical="center"/>
    </xf>
    <xf numFmtId="0" fontId="24" fillId="10" borderId="0" xfId="2" applyFont="1" applyFill="1" applyAlignment="1">
      <alignment vertical="center"/>
    </xf>
    <xf numFmtId="44" fontId="24" fillId="0" borderId="20" xfId="2" applyNumberFormat="1" applyFont="1" applyBorder="1" applyAlignment="1">
      <alignment horizontal="center"/>
    </xf>
    <xf numFmtId="44" fontId="24" fillId="0" borderId="26" xfId="2" applyNumberFormat="1" applyFont="1" applyBorder="1" applyAlignment="1">
      <alignment horizontal="center"/>
    </xf>
    <xf numFmtId="0" fontId="25" fillId="0" borderId="1" xfId="2" applyFont="1" applyBorder="1" applyAlignment="1">
      <alignment horizontal="center" wrapText="1"/>
    </xf>
    <xf numFmtId="0" fontId="24" fillId="0" borderId="1" xfId="2" applyFont="1" applyBorder="1" applyAlignment="1">
      <alignment horizontal="center" wrapText="1"/>
    </xf>
    <xf numFmtId="0" fontId="26" fillId="0" borderId="1" xfId="2" applyFont="1" applyBorder="1" applyAlignment="1">
      <alignment horizontal="center" wrapText="1"/>
    </xf>
    <xf numFmtId="0" fontId="24" fillId="0" borderId="1" xfId="2" applyFont="1" applyBorder="1" applyAlignment="1">
      <alignment wrapText="1"/>
    </xf>
    <xf numFmtId="0" fontId="25" fillId="0" borderId="15" xfId="2" applyFont="1" applyBorder="1" applyAlignment="1">
      <alignment horizontal="center"/>
    </xf>
    <xf numFmtId="0" fontId="25" fillId="0" borderId="15" xfId="2" applyFont="1" applyBorder="1" applyAlignment="1">
      <alignment horizontal="right"/>
    </xf>
    <xf numFmtId="0" fontId="22" fillId="10" borderId="0" xfId="2" applyFont="1" applyFill="1" applyAlignment="1">
      <alignment horizontal="left" vertical="center"/>
    </xf>
    <xf numFmtId="175" fontId="24" fillId="0" borderId="26" xfId="2" applyNumberFormat="1" applyFont="1" applyBorder="1" applyAlignment="1"/>
    <xf numFmtId="175" fontId="24" fillId="0" borderId="20" xfId="2" applyNumberFormat="1" applyFont="1" applyBorder="1" applyAlignment="1"/>
    <xf numFmtId="0" fontId="25" fillId="0" borderId="23" xfId="2" applyFont="1" applyBorder="1" applyAlignment="1">
      <alignment horizontal="left" wrapText="1"/>
    </xf>
    <xf numFmtId="175" fontId="24" fillId="0" borderId="2" xfId="2" applyNumberFormat="1" applyFont="1" applyBorder="1" applyAlignment="1">
      <alignment horizontal="center"/>
    </xf>
    <xf numFmtId="175" fontId="24" fillId="0" borderId="0" xfId="2" applyNumberFormat="1" applyFont="1" applyBorder="1" applyAlignment="1">
      <alignment horizontal="center"/>
    </xf>
    <xf numFmtId="175" fontId="24" fillId="9" borderId="15" xfId="2" applyNumberFormat="1" applyFont="1" applyFill="1" applyBorder="1" applyAlignment="1">
      <alignment horizontal="center"/>
    </xf>
    <xf numFmtId="9" fontId="24" fillId="0" borderId="2" xfId="12" applyFont="1" applyBorder="1" applyAlignment="1">
      <alignment horizontal="center"/>
    </xf>
    <xf numFmtId="9" fontId="24" fillId="0" borderId="0" xfId="12" applyFont="1" applyBorder="1" applyAlignment="1">
      <alignment horizontal="center"/>
    </xf>
    <xf numFmtId="9" fontId="24" fillId="9" borderId="15" xfId="12" applyFont="1" applyFill="1" applyBorder="1" applyAlignment="1">
      <alignment horizontal="center"/>
    </xf>
    <xf numFmtId="0" fontId="25" fillId="0" borderId="15" xfId="2" applyFont="1" applyBorder="1" applyAlignment="1">
      <alignment horizontal="left"/>
    </xf>
    <xf numFmtId="0" fontId="24" fillId="0" borderId="15" xfId="2" applyFont="1" applyBorder="1"/>
    <xf numFmtId="44" fontId="24" fillId="0" borderId="31" xfId="2" applyNumberFormat="1" applyFont="1" applyBorder="1" applyAlignment="1">
      <alignment horizontal="center"/>
    </xf>
    <xf numFmtId="175" fontId="24" fillId="0" borderId="31" xfId="2" applyNumberFormat="1" applyFont="1" applyBorder="1" applyAlignment="1"/>
    <xf numFmtId="44" fontId="24" fillId="0" borderId="1" xfId="2" applyNumberFormat="1" applyFont="1" applyBorder="1" applyAlignment="1">
      <alignment horizontal="center"/>
    </xf>
    <xf numFmtId="175" fontId="24" fillId="0" borderId="1" xfId="2" applyNumberFormat="1" applyFont="1" applyBorder="1" applyAlignment="1"/>
    <xf numFmtId="44" fontId="23" fillId="0" borderId="15" xfId="2" applyNumberFormat="1" applyFont="1" applyBorder="1" applyAlignment="1">
      <alignment horizontal="center"/>
    </xf>
    <xf numFmtId="175" fontId="24" fillId="9" borderId="15" xfId="2" applyNumberFormat="1" applyFont="1" applyFill="1" applyBorder="1" applyAlignment="1"/>
  </cellXfs>
  <cellStyles count="13">
    <cellStyle name="Comma" xfId="8" builtinId="3"/>
    <cellStyle name="Comma 2" xfId="3" xr:uid="{0253BF3D-D4CC-432B-BCAF-560F168D2E75}"/>
    <cellStyle name="Comma 3" xfId="4" xr:uid="{D77EA1B6-500D-4CB3-8D21-5D5911309EE5}"/>
    <cellStyle name="Comma 4" xfId="7" xr:uid="{FFC1C04E-E7CF-4A61-9598-40BC7AEC7D0B}"/>
    <cellStyle name="Currency" xfId="9" builtinId="4"/>
    <cellStyle name="Normal" xfId="0" builtinId="0"/>
    <cellStyle name="Normal 2" xfId="2" xr:uid="{F0CBD1A8-EC02-4395-9535-06EFA6E65D8D}"/>
    <cellStyle name="Normal 3" xfId="10" xr:uid="{78F1B4D3-CF6C-4D0D-87F0-6E85E9594C90}"/>
    <cellStyle name="Normal 4" xfId="1" xr:uid="{3EA435AF-A3AE-4D8C-A41C-B2F292732A59}"/>
    <cellStyle name="Normal 5" xfId="6" xr:uid="{ADA853F4-9DEF-4EB5-93CB-74581EDCB584}"/>
    <cellStyle name="Percent" xfId="12" builtinId="5"/>
    <cellStyle name="Percent 2" xfId="5" xr:uid="{3EB2D864-BCFD-4979-A6FA-78AA8A0C167D}"/>
    <cellStyle name="Percent 3" xfId="11" xr:uid="{2E1D3D59-790A-41F5-A831-4C8692F4BED5}"/>
  </cellStyles>
  <dxfs count="4">
    <dxf>
      <font>
        <color rgb="FFFF0000"/>
      </font>
    </dxf>
    <dxf>
      <font>
        <strike val="0"/>
        <color theme="0" tint="-0.14996795556505021"/>
      </font>
      <fill>
        <patternFill>
          <bgColor theme="0"/>
        </patternFill>
      </fill>
    </dxf>
    <dxf>
      <font>
        <color rgb="FFFF0000"/>
      </font>
    </dxf>
    <dxf>
      <font>
        <strike val="0"/>
        <color theme="0" tint="-0.1499679555650502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9CD8A-03F4-4A01-A95E-FB4A5D73A1CA}">
  <sheetPr>
    <tabColor theme="1"/>
    <pageSetUpPr fitToPage="1"/>
  </sheetPr>
  <dimension ref="A1:P83"/>
  <sheetViews>
    <sheetView tabSelected="1" showWhiteSpace="0" view="pageBreakPreview" zoomScaleNormal="100" zoomScaleSheetLayoutView="100" workbookViewId="0">
      <selection activeCell="B83" sqref="B83"/>
    </sheetView>
  </sheetViews>
  <sheetFormatPr baseColWidth="10" defaultColWidth="9.1640625" defaultRowHeight="14" customHeight="1"/>
  <cols>
    <col min="1" max="1" width="3.5" style="176" customWidth="1"/>
    <col min="2" max="2" width="12.5" style="173" customWidth="1"/>
    <col min="3" max="3" width="20.5" style="173" customWidth="1"/>
    <col min="4" max="4" width="12.5" style="103" customWidth="1"/>
    <col min="5" max="14" width="13.5" style="173" customWidth="1"/>
    <col min="15" max="15" width="12.5" style="173" customWidth="1"/>
    <col min="16" max="16" width="9.1640625" style="173"/>
    <col min="17" max="17" width="11.1640625" style="173" bestFit="1" customWidth="1"/>
    <col min="18" max="16384" width="9.1640625" style="173"/>
  </cols>
  <sheetData>
    <row r="1" spans="2:15" s="176" customFormat="1" ht="14" customHeight="1">
      <c r="D1" s="103"/>
    </row>
    <row r="2" spans="2:15" s="91" customFormat="1" ht="13.5" customHeight="1">
      <c r="B2" s="427" t="s">
        <v>311</v>
      </c>
      <c r="C2" s="427"/>
      <c r="D2" s="428"/>
      <c r="E2" s="429"/>
      <c r="F2" s="429"/>
      <c r="G2" s="429"/>
      <c r="H2" s="429"/>
      <c r="I2" s="429"/>
      <c r="J2" s="429"/>
      <c r="K2" s="429"/>
      <c r="L2" s="429"/>
      <c r="M2" s="429"/>
      <c r="N2" s="430" t="s">
        <v>312</v>
      </c>
      <c r="O2" s="431" t="s">
        <v>442</v>
      </c>
    </row>
    <row r="3" spans="2:15" ht="11.25" customHeight="1">
      <c r="B3" s="92"/>
      <c r="C3" s="92"/>
      <c r="D3" s="323" t="s">
        <v>313</v>
      </c>
      <c r="E3" s="324"/>
      <c r="F3" s="406"/>
      <c r="G3" s="113"/>
      <c r="H3" s="163"/>
      <c r="I3" s="163"/>
      <c r="J3" s="163"/>
      <c r="K3" s="163"/>
      <c r="L3" s="163"/>
      <c r="M3" s="163"/>
      <c r="N3" s="163"/>
      <c r="O3" s="163"/>
    </row>
    <row r="4" spans="2:15" ht="11.25" customHeight="1">
      <c r="B4" s="93"/>
      <c r="C4" s="93"/>
      <c r="D4" s="94" t="s">
        <v>315</v>
      </c>
      <c r="E4" s="94">
        <v>2023</v>
      </c>
      <c r="F4" s="330">
        <f>E4+1</f>
        <v>2024</v>
      </c>
      <c r="G4" s="330">
        <f t="shared" ref="G4:L4" si="0">F4+1</f>
        <v>2025</v>
      </c>
      <c r="H4" s="331">
        <f t="shared" si="0"/>
        <v>2026</v>
      </c>
      <c r="I4" s="331">
        <f t="shared" si="0"/>
        <v>2027</v>
      </c>
      <c r="J4" s="331">
        <f t="shared" si="0"/>
        <v>2028</v>
      </c>
      <c r="K4" s="331">
        <f t="shared" si="0"/>
        <v>2029</v>
      </c>
      <c r="L4" s="331">
        <f t="shared" si="0"/>
        <v>2030</v>
      </c>
      <c r="M4" s="331">
        <f>L4+1</f>
        <v>2031</v>
      </c>
      <c r="N4" s="331">
        <f>M4+1</f>
        <v>2032</v>
      </c>
      <c r="O4" s="331">
        <f>N4+1</f>
        <v>2033</v>
      </c>
    </row>
    <row r="5" spans="2:15" ht="11.25" customHeight="1">
      <c r="B5" s="96" t="s">
        <v>316</v>
      </c>
      <c r="C5" s="96"/>
      <c r="D5" s="97"/>
      <c r="E5" s="98"/>
      <c r="F5" s="165"/>
      <c r="G5" s="165"/>
      <c r="H5" s="165"/>
      <c r="I5" s="165"/>
      <c r="J5" s="165"/>
      <c r="K5" s="165"/>
      <c r="L5" s="165"/>
      <c r="M5" s="313"/>
      <c r="N5" s="313"/>
      <c r="O5" s="313"/>
    </row>
    <row r="6" spans="2:15" ht="11.25" customHeight="1">
      <c r="B6" s="321" t="s">
        <v>317</v>
      </c>
      <c r="C6" s="161" t="s">
        <v>318</v>
      </c>
      <c r="D6" s="351"/>
      <c r="E6" s="342">
        <v>0</v>
      </c>
      <c r="F6" s="343">
        <f ca="1">'Phase I - CF MF Market Rental'!H63</f>
        <v>1257607.4569018639</v>
      </c>
      <c r="G6" s="343">
        <f ca="1">'Phase I - CF MF Market Rental'!I63</f>
        <v>1663263.2068362504</v>
      </c>
      <c r="H6" s="343">
        <f ca="1">'Phase I - CF MF Market Rental'!J63+'Phase II - CF MF Market Rental'!H63</f>
        <v>5570325.1470837938</v>
      </c>
      <c r="I6" s="343">
        <f ca="1">'Phase I - CF MF Market Rental'!K63+'Phase II - CF MF Market Rental'!I63</f>
        <v>6855036.11878563</v>
      </c>
      <c r="J6" s="343">
        <f ca="1">'Phase I - CF MF Market Rental'!L63+'Phase II - CF MF Market Rental'!J63</f>
        <v>7010715.2784679336</v>
      </c>
      <c r="K6" s="343">
        <f ca="1">'Phase I - CF MF Market Rental'!M63+'Phase II - CF MF Market Rental'!K63</f>
        <v>7168315.2998747854</v>
      </c>
      <c r="L6" s="343">
        <f ca="1">'Phase I - CF MF Market Rental'!N63+'Phase II - CF MF Market Rental'!L63</f>
        <v>7327750.2648224337</v>
      </c>
      <c r="M6" s="343">
        <f ca="1">'Phase I - CF MF Market Rental'!O63+'Phase II - CF MF Market Rental'!M63</f>
        <v>7488924.3258799361</v>
      </c>
      <c r="N6" s="343">
        <f ca="1">'Phase I - CF MF Market Rental'!P63+'Phase II - CF MF Market Rental'!N63</f>
        <v>7651731.0347281601</v>
      </c>
      <c r="O6" s="343">
        <f ca="1">'Phase I - CF MF Market Rental'!Q63+'Phase II - CF MF Market Rental'!O63</f>
        <v>7816052.6314217858</v>
      </c>
    </row>
    <row r="7" spans="2:15" ht="11.25" customHeight="1">
      <c r="B7" s="321" t="s">
        <v>319</v>
      </c>
      <c r="C7" s="161" t="s">
        <v>318</v>
      </c>
      <c r="D7" s="351"/>
      <c r="E7" s="342">
        <v>0</v>
      </c>
      <c r="F7" s="343">
        <f ca="1">'Phase I - CF Affordable'!H62</f>
        <v>84565.941648919761</v>
      </c>
      <c r="G7" s="343">
        <f ca="1">'Phase I - CF Affordable'!I62</f>
        <v>116197.49330989819</v>
      </c>
      <c r="H7" s="343">
        <f ca="1">'Phase I - CF Affordable'!J62+'Phase II - CF Affordable Rent'!H62</f>
        <v>547717.1883612785</v>
      </c>
      <c r="I7" s="343">
        <f ca="1">'Phase I - CF Affordable'!K62+'Phase II - CF Affordable Rent'!I62</f>
        <v>729014.21103695862</v>
      </c>
      <c r="J7" s="343">
        <f ca="1">'Phase I - CF Affordable'!L62+'Phase II - CF Affordable Rent'!J62</f>
        <v>746246.55691137107</v>
      </c>
      <c r="K7" s="343">
        <f ca="1">'Phase I - CF Affordable'!M62+'Phase II - CF Affordable Rent'!K62</f>
        <v>763682.84176684485</v>
      </c>
      <c r="L7" s="343">
        <f ca="1">'Phase I - CF Affordable'!N62+'Phase II - CF Affordable Rent'!L62</f>
        <v>781311.77749373519</v>
      </c>
      <c r="M7" s="344">
        <f ca="1">'Phase I - CF Affordable'!O62+'Phase II - CF Affordable Rent'!M62</f>
        <v>799120.82524357573</v>
      </c>
      <c r="N7" s="344">
        <f ca="1">'Phase I - CF Affordable'!P62+'Phase II - CF Affordable Rent'!N62</f>
        <v>817096.11112812674</v>
      </c>
      <c r="O7" s="344">
        <f ca="1">'Phase I - CF Affordable'!Q62+'Phase II - CF Affordable Rent'!O62</f>
        <v>835222.33700984833</v>
      </c>
    </row>
    <row r="8" spans="2:15" ht="11.25" customHeight="1">
      <c r="B8" s="445" t="s">
        <v>320</v>
      </c>
      <c r="C8" s="445"/>
      <c r="D8" s="351"/>
      <c r="E8" s="342">
        <v>0</v>
      </c>
      <c r="F8" s="343">
        <f ca="1">'Phase I - CF Commercial'!H58</f>
        <v>1757155.9099589344</v>
      </c>
      <c r="G8" s="343">
        <f ca="1">'Phase I - CF Commercial'!I58</f>
        <v>1817250.2940781135</v>
      </c>
      <c r="H8" s="343">
        <f ca="1">'Phase I - CF Commercial'!J58+'Phase II - CF Commercial'!H58</f>
        <v>5594830.0949866036</v>
      </c>
      <c r="I8" s="343">
        <f ca="1">'Phase I - CF Commercial'!K58+'Phase II - CF Commercial'!I58</f>
        <v>5785080.007540863</v>
      </c>
      <c r="J8" s="343">
        <f ca="1">'Phase I - CF Commercial'!L58+'Phase II - CF Commercial'!J58</f>
        <v>5981485.5176658444</v>
      </c>
      <c r="K8" s="343">
        <f ca="1">'Phase I - CF Commercial'!M58+'Phase II - CF Commercial'!K58</f>
        <v>6184240.2552925507</v>
      </c>
      <c r="L8" s="343">
        <f ca="1">'Phase I - CF Commercial'!N58+'Phase II - CF Commercial'!L58</f>
        <v>6393543.8384899907</v>
      </c>
      <c r="M8" s="344">
        <f ca="1">'Phase I - CF Commercial'!O58+'Phase II - CF Commercial'!M58</f>
        <v>6609602.0566941295</v>
      </c>
      <c r="N8" s="344">
        <f ca="1">'Phase I - CF Commercial'!P58+'Phase II - CF Commercial'!N58</f>
        <v>6832627.0595053807</v>
      </c>
      <c r="O8" s="344">
        <f ca="1">'Phase I - CF Commercial'!Q58+'Phase II - CF Commercial'!O58</f>
        <v>7062837.5512231775</v>
      </c>
    </row>
    <row r="9" spans="2:15" ht="11.25" customHeight="1">
      <c r="B9" s="161"/>
      <c r="C9" s="161" t="s">
        <v>378</v>
      </c>
      <c r="D9" s="351"/>
      <c r="E9" s="342">
        <v>0</v>
      </c>
      <c r="F9" s="343">
        <f ca="1">'Phase I - CF Civic'!H64</f>
        <v>1440058.8995343721</v>
      </c>
      <c r="G9" s="343">
        <f ca="1">'Phase I - CF Civic'!I64</f>
        <v>1490114.8596050595</v>
      </c>
      <c r="H9" s="343">
        <f ca="1">'Phase I - CF Civic'!J64+'Phase II - CF Civic'!H58</f>
        <v>2718636.1291412292</v>
      </c>
      <c r="I9" s="343">
        <f ca="1">'Phase I - CF Civic'!K64+'Phase II - CF Civic'!I58</f>
        <v>2812637.2218727255</v>
      </c>
      <c r="J9" s="343">
        <f ca="1">'Phase I - CF Civic'!L64+'Phase II - CF Civic'!J58</f>
        <v>2909707.1875633122</v>
      </c>
      <c r="K9" s="343">
        <f ca="1">'Phase I - CF Civic'!M64+'Phase II - CF Civic'!K58</f>
        <v>3009943.0692053046</v>
      </c>
      <c r="L9" s="343">
        <f ca="1">'Phase I - CF Civic'!N64+'Phase II - CF Civic'!L58</f>
        <v>3113444.9206168586</v>
      </c>
      <c r="M9" s="344">
        <f ca="1">'Phase I - CF Civic'!O64+'Phase II - CF Civic'!M58</f>
        <v>3220315.8987574666</v>
      </c>
      <c r="N9" s="344">
        <f ca="1">'Phase I - CF Civic'!P64+'Phase II - CF Civic'!N58</f>
        <v>3330662.3588527357</v>
      </c>
      <c r="O9" s="344">
        <f ca="1">'Phase I - CF Civic'!Q64+'Phase II - CF Civic'!O58</f>
        <v>3444593.9524135138</v>
      </c>
    </row>
    <row r="10" spans="2:15" ht="11.25" customHeight="1">
      <c r="B10" s="445" t="s">
        <v>321</v>
      </c>
      <c r="C10" s="445"/>
      <c r="D10" s="351"/>
      <c r="E10" s="342">
        <v>0</v>
      </c>
      <c r="F10" s="343">
        <f ca="1">'Phase I - CF Retail'!H66</f>
        <v>2466439.1501756986</v>
      </c>
      <c r="G10" s="343">
        <f ca="1">'Phase I - CF Retail'!I66</f>
        <v>2545706.9821792124</v>
      </c>
      <c r="H10" s="343">
        <f ca="1">'Phase I - CF Retail'!J66+'Phase II - CF Retail'!H60</f>
        <v>8246918.9483607244</v>
      </c>
      <c r="I10" s="343">
        <f ca="1">'Phase I - CF Retail'!K66+'Phase II - CF Retail'!I60</f>
        <v>8511811.3432120383</v>
      </c>
      <c r="J10" s="343">
        <f ca="1">'Phase I - CF Retail'!L66+'Phase II - CF Retail'!J60</f>
        <v>8785000.2064369023</v>
      </c>
      <c r="K10" s="343">
        <f ca="1">'Phase I - CF Retail'!M66+'Phase II - CF Retail'!K60</f>
        <v>9066741.4260170814</v>
      </c>
      <c r="L10" s="343">
        <f ca="1">'Phase I - CF Retail'!N66+'Phase II - CF Retail'!L60</f>
        <v>9357298.7064524069</v>
      </c>
      <c r="M10" s="344">
        <f ca="1">'Phase I - CF Retail'!O66+'Phase II - CF Retail'!M60</f>
        <v>9656943.8060538918</v>
      </c>
      <c r="N10" s="344">
        <f ca="1">'Phase I - CF Retail'!P66+'Phase II - CF Retail'!N60</f>
        <v>9965956.781411577</v>
      </c>
      <c r="O10" s="344">
        <f ca="1">'Phase I - CF Retail'!Q66+'Phase II - CF Retail'!O60</f>
        <v>10284626.239253514</v>
      </c>
    </row>
    <row r="11" spans="2:15" ht="11.25" customHeight="1">
      <c r="B11" s="445" t="s">
        <v>322</v>
      </c>
      <c r="C11" s="445"/>
      <c r="D11" s="351"/>
      <c r="E11" s="342">
        <v>0</v>
      </c>
      <c r="F11" s="343">
        <v>0</v>
      </c>
      <c r="G11" s="343">
        <v>0</v>
      </c>
      <c r="H11" s="343">
        <f ca="1">'Phase II - CF Hotel'!H69</f>
        <v>1266403.5897224806</v>
      </c>
      <c r="I11" s="343">
        <f ca="1">'Phase II - CF Hotel'!I69</f>
        <v>1650715.9871862661</v>
      </c>
      <c r="J11" s="343">
        <f ca="1">'Phase II - CF Hotel'!J69</f>
        <v>2046557.7565739639</v>
      </c>
      <c r="K11" s="343">
        <f ca="1">'Phase II - CF Hotel'!K69</f>
        <v>2454274.7790432964</v>
      </c>
      <c r="L11" s="343">
        <f ca="1">'Phase II - CF Hotel'!L69</f>
        <v>2874223.3121867068</v>
      </c>
      <c r="M11" s="344">
        <f ca="1">'Phase II - CF Hotel'!M69</f>
        <v>3306770.301324416</v>
      </c>
      <c r="N11" s="344">
        <f ca="1">'Phase II - CF Hotel'!N69</f>
        <v>3752293.7001362629</v>
      </c>
      <c r="O11" s="344">
        <f ca="1">'Phase II - CF Hotel'!O69</f>
        <v>4211182.8009124622</v>
      </c>
    </row>
    <row r="12" spans="2:15" ht="11.25" customHeight="1">
      <c r="B12" s="446" t="s">
        <v>324</v>
      </c>
      <c r="C12" s="446"/>
      <c r="D12" s="352"/>
      <c r="E12" s="345">
        <v>0</v>
      </c>
      <c r="F12" s="346">
        <f t="shared" ref="F12:O12" ca="1" si="1">SUM(F6:F11)</f>
        <v>7005827.3582197893</v>
      </c>
      <c r="G12" s="346">
        <f t="shared" ca="1" si="1"/>
        <v>7632532.8360085338</v>
      </c>
      <c r="H12" s="346">
        <f t="shared" ca="1" si="1"/>
        <v>23944831.097656112</v>
      </c>
      <c r="I12" s="346">
        <f t="shared" ca="1" si="1"/>
        <v>26344294.889634483</v>
      </c>
      <c r="J12" s="346">
        <f t="shared" ca="1" si="1"/>
        <v>27479712.503619328</v>
      </c>
      <c r="K12" s="346">
        <f t="shared" ca="1" si="1"/>
        <v>28647197.671199866</v>
      </c>
      <c r="L12" s="346">
        <f t="shared" ca="1" si="1"/>
        <v>29847572.820062131</v>
      </c>
      <c r="M12" s="347">
        <f t="shared" ca="1" si="1"/>
        <v>31081677.213953413</v>
      </c>
      <c r="N12" s="347">
        <f t="shared" ca="1" si="1"/>
        <v>32350367.045762245</v>
      </c>
      <c r="O12" s="347">
        <f t="shared" ca="1" si="1"/>
        <v>33654515.5122343</v>
      </c>
    </row>
    <row r="13" spans="2:15" ht="11.25" customHeight="1">
      <c r="B13" s="446" t="s">
        <v>325</v>
      </c>
      <c r="C13" s="446"/>
      <c r="D13" s="352"/>
      <c r="E13" s="345">
        <v>0</v>
      </c>
      <c r="F13" s="346">
        <v>0</v>
      </c>
      <c r="G13" s="346">
        <v>0</v>
      </c>
      <c r="H13" s="346">
        <v>0</v>
      </c>
      <c r="I13" s="346">
        <v>0</v>
      </c>
      <c r="J13" s="346">
        <v>0</v>
      </c>
      <c r="K13" s="346">
        <v>0</v>
      </c>
      <c r="L13" s="346">
        <v>0</v>
      </c>
      <c r="M13" s="347">
        <v>0</v>
      </c>
      <c r="N13" s="348">
        <f ca="1">N31-N32</f>
        <v>605781279.22021747</v>
      </c>
      <c r="O13" s="346">
        <v>0</v>
      </c>
    </row>
    <row r="14" spans="2:15" ht="11.25" customHeight="1">
      <c r="B14" s="102"/>
      <c r="C14" s="102" t="s">
        <v>326</v>
      </c>
      <c r="D14" s="353"/>
      <c r="E14" s="349">
        <f t="shared" ref="E14" si="2">E12+E13</f>
        <v>0</v>
      </c>
      <c r="F14" s="350">
        <f t="shared" ref="F14:N14" ca="1" si="3">F12+F13</f>
        <v>7005827.3582197893</v>
      </c>
      <c r="G14" s="350">
        <f t="shared" ca="1" si="3"/>
        <v>7632532.8360085338</v>
      </c>
      <c r="H14" s="350">
        <f t="shared" ca="1" si="3"/>
        <v>23944831.097656112</v>
      </c>
      <c r="I14" s="350">
        <f t="shared" ca="1" si="3"/>
        <v>26344294.889634483</v>
      </c>
      <c r="J14" s="350">
        <f t="shared" ca="1" si="3"/>
        <v>27479712.503619328</v>
      </c>
      <c r="K14" s="350">
        <f t="shared" ca="1" si="3"/>
        <v>28647197.671199866</v>
      </c>
      <c r="L14" s="350">
        <f t="shared" ca="1" si="3"/>
        <v>29847572.820062131</v>
      </c>
      <c r="M14" s="350">
        <f t="shared" ca="1" si="3"/>
        <v>31081677.213953413</v>
      </c>
      <c r="N14" s="350">
        <f t="shared" ca="1" si="3"/>
        <v>638131646.26597977</v>
      </c>
      <c r="O14" s="350">
        <v>0</v>
      </c>
    </row>
    <row r="15" spans="2:15" s="108" customFormat="1" ht="11.25" customHeight="1">
      <c r="B15" s="104"/>
      <c r="C15" s="105"/>
      <c r="D15" s="106"/>
      <c r="E15" s="107"/>
    </row>
    <row r="16" spans="2:15" ht="11.25" customHeight="1">
      <c r="B16" s="96" t="s">
        <v>327</v>
      </c>
      <c r="C16" s="96"/>
      <c r="D16" s="354"/>
      <c r="I16" s="355"/>
      <c r="J16" s="355"/>
      <c r="K16" s="355"/>
      <c r="L16" s="355"/>
      <c r="M16" s="356"/>
      <c r="N16" s="356"/>
      <c r="O16" s="355"/>
    </row>
    <row r="17" spans="2:15" ht="11.25" customHeight="1">
      <c r="B17" s="321" t="s">
        <v>317</v>
      </c>
      <c r="C17" s="161" t="s">
        <v>318</v>
      </c>
      <c r="D17" s="351"/>
      <c r="E17" s="342">
        <f ca="1">-('Phase I - CF MF Market Rental'!R33-'Phase I - CF MF Market Rental'!G4-'Phase I - CF MF Market Rental'!G7-'Phase I - CF MF Market Rental'!G8)*Assumptions!O24</f>
        <v>-21229066.570872031</v>
      </c>
      <c r="F17" s="351">
        <f ca="1">-('Phase I - CF MF Market Rental'!R33-'Phase I - CF MF Market Rental'!G4-'Phase I - CF MF Market Rental'!G7-'Phase I - CF MF Market Rental'!G8)*Assumptions!O25</f>
        <v>-7076355.5236240104</v>
      </c>
      <c r="G17" s="343">
        <f ca="1">-('Phase II - CF MF Market Rental'!R33-'Phase II - CF MF Market Rental'!G4-'Phase II - CF MF Market Rental'!G7-'Phase II - CF MF Market Rental'!G8)*Assumptions!O26</f>
        <v>-61974997.433636993</v>
      </c>
      <c r="H17" s="351">
        <f ca="1">-('Phase II - CF MF Market Rental'!R33-'Phase II - CF MF Market Rental'!G4-'Phase II - CF MF Market Rental'!G7-'Phase II - CF MF Market Rental'!G8)*Assumptions!O27</f>
        <v>-20658332.477878999</v>
      </c>
      <c r="I17" s="351">
        <v>0</v>
      </c>
      <c r="J17" s="351">
        <v>0</v>
      </c>
      <c r="K17" s="351">
        <v>0</v>
      </c>
      <c r="L17" s="351">
        <v>0</v>
      </c>
      <c r="M17" s="351">
        <v>0</v>
      </c>
      <c r="N17" s="351">
        <v>0</v>
      </c>
      <c r="O17" s="351">
        <v>0</v>
      </c>
    </row>
    <row r="18" spans="2:15" ht="11.25" customHeight="1">
      <c r="B18" s="321" t="s">
        <v>319</v>
      </c>
      <c r="C18" s="161" t="s">
        <v>318</v>
      </c>
      <c r="D18" s="351"/>
      <c r="E18" s="342">
        <f ca="1">-('Phase I - CF Affordable'!R36-'Phase I - CF Affordable'!G4-'Phase I - CF Affordable'!G7-'Phase I - CF Affordable'!G8-'Phase I - CF Affordable'!R35)*Assumptions!O24</f>
        <v>-3746305.8654480055</v>
      </c>
      <c r="F18" s="351">
        <f ca="1">-('Phase I - CF Affordable'!R36-'Phase I - CF Affordable'!G4-'Phase I - CF Affordable'!G7-'Phase I - CF Affordable'!G8-'Phase I - CF Affordable'!R35)*Assumptions!O25</f>
        <v>-1248768.6218160018</v>
      </c>
      <c r="G18" s="343">
        <f ca="1">-('Phase II - CF Affordable Rent'!R36-'Phase II - CF Affordable Rent'!G4-'Phase II - CF Affordable Rent'!G7-'Phase II - CF Affordable Rent'!G8-'Phase II - CF Affordable Rent'!R35)*Assumptions!O26</f>
        <v>-26560713.185844429</v>
      </c>
      <c r="H18" s="351">
        <f ca="1">-('Phase II - CF Affordable Rent'!R36-'Phase II - CF Affordable Rent'!G4-'Phase II - CF Affordable Rent'!G7-'Phase II - CF Affordable Rent'!G8-'Phase II - CF Affordable Rent'!R35)*Assumptions!O27</f>
        <v>-8853571.0619481429</v>
      </c>
      <c r="I18" s="351">
        <v>0</v>
      </c>
      <c r="J18" s="351">
        <v>0</v>
      </c>
      <c r="K18" s="351">
        <v>0</v>
      </c>
      <c r="L18" s="351">
        <v>0</v>
      </c>
      <c r="M18" s="351">
        <v>0</v>
      </c>
      <c r="N18" s="351">
        <v>0</v>
      </c>
      <c r="O18" s="351">
        <v>0</v>
      </c>
    </row>
    <row r="19" spans="2:15" ht="11.25" customHeight="1">
      <c r="B19" s="445" t="s">
        <v>320</v>
      </c>
      <c r="C19" s="445"/>
      <c r="D19" s="351"/>
      <c r="E19" s="343">
        <f ca="1">-('Phase I - CF Commercial'!R24-'Phase I - CF Commercial'!G4-'Phase I - CF Commercial'!G7-'Phase I - CF Commercial'!G8-'Phase I - CF Commercial'!R18)*Assumptions!O24</f>
        <v>-22972649.229757588</v>
      </c>
      <c r="F19" s="351">
        <f ca="1">-('Phase I - CF Commercial'!R24-'Phase I - CF Commercial'!G4-'Phase I - CF Commercial'!G7-'Phase I - CF Commercial'!G8-'Phase I - CF Commercial'!R18)*Assumptions!O25</f>
        <v>-7657549.7432525298</v>
      </c>
      <c r="G19" s="343">
        <f ca="1">-('Phase II - CF Commercial'!R24-'Phase II - CF Commercial'!G4-'Phase II - CF Commercial'!G7-'Phase II - CF Commercial'!G8-'Phase II - CF Commercial'!R18)*Assumptions!O26</f>
        <v>-47595885.345059179</v>
      </c>
      <c r="H19" s="351">
        <f ca="1">-('Phase II - CF Commercial'!R24-'Phase II - CF Commercial'!G4-'Phase II - CF Commercial'!G7-'Phase II - CF Commercial'!G8-'Phase II - CF Commercial'!R18)*Assumptions!O27</f>
        <v>-15865295.115019726</v>
      </c>
      <c r="I19" s="351">
        <v>0</v>
      </c>
      <c r="J19" s="351">
        <v>0</v>
      </c>
      <c r="K19" s="351">
        <v>0</v>
      </c>
      <c r="L19" s="351">
        <v>0</v>
      </c>
      <c r="M19" s="351">
        <v>0</v>
      </c>
      <c r="N19" s="351">
        <v>0</v>
      </c>
      <c r="O19" s="351">
        <v>0</v>
      </c>
    </row>
    <row r="20" spans="2:15" ht="11.25" customHeight="1">
      <c r="B20" s="161"/>
      <c r="C20" s="161" t="s">
        <v>378</v>
      </c>
      <c r="D20" s="351"/>
      <c r="E20" s="343">
        <f ca="1">-('Phase I - CF Civic'!R19-'Phase I - CF Civic'!G4-'Phase I - CF Civic'!G7-'Phase I - CF Civic'!G8-'Phase I - CF Civic'!R18)*Assumptions!O24</f>
        <v>-19062913.51956512</v>
      </c>
      <c r="F20" s="351">
        <f ca="1">-('Phase I - CF Civic'!R19-'Phase I - CF Civic'!G4-'Phase I - CF Civic'!G7-'Phase I - CF Civic'!G8-'Phase I - CF Civic'!R18)*Assumptions!O25</f>
        <v>-6354304.5065217065</v>
      </c>
      <c r="G20" s="350">
        <f ca="1">-('Phase II - CF Civic'!R19-'Phase II - CF Civic'!G4-'Phase II - CF Civic'!G7-'Phase II - CF Civic'!G8-'Phase II - CF Civic'!R18)*Assumptions!O26</f>
        <v>-15150180.634093679</v>
      </c>
      <c r="H20" s="351">
        <f ca="1">-('Phase II - CF Civic'!R19-'Phase II - CF Civic'!G4-'Phase II - CF Civic'!G7-'Phase II - CF Civic'!G8-'Phase II - CF Civic'!R18)*Assumptions!O27</f>
        <v>-5050060.2113645598</v>
      </c>
      <c r="I20" s="351">
        <v>0</v>
      </c>
      <c r="J20" s="351">
        <v>0</v>
      </c>
      <c r="K20" s="351">
        <v>0</v>
      </c>
      <c r="L20" s="351">
        <v>0</v>
      </c>
      <c r="M20" s="351">
        <v>0</v>
      </c>
      <c r="N20" s="351">
        <v>0</v>
      </c>
      <c r="O20" s="351">
        <v>0</v>
      </c>
    </row>
    <row r="21" spans="2:15" ht="11.25" customHeight="1">
      <c r="B21" s="445" t="s">
        <v>328</v>
      </c>
      <c r="C21" s="445"/>
      <c r="D21" s="351"/>
      <c r="E21" s="343">
        <f ca="1">-('Phase I - CF Retail'!R19-'Phase I - CF Retail'!G4-'Phase I - CF Retail'!G7-'Phase I - CF Retail'!G8-'Phase I - CF Retail'!R18)*Assumptions!O24</f>
        <v>-14445735.00265385</v>
      </c>
      <c r="F21" s="351">
        <f ca="1">-('Phase I - CF Retail'!R19-'Phase I - CF Retail'!G4-'Phase I - CF Retail'!G7-'Phase I - CF Retail'!G8-'Phase I - CF Retail'!R18)*Assumptions!O25</f>
        <v>-4815245.0008846167</v>
      </c>
      <c r="G21" s="343">
        <f ca="1">-('Phase II - CF Retail'!R19-'Phase II - CF Retail'!G4-'Phase II - CF Retail'!G7-'Phase II - CF Retail'!G8-'Phase II - CF Retail'!R18)*Assumptions!O26</f>
        <v>-34071612.979907148</v>
      </c>
      <c r="H21" s="351">
        <f ca="1">-('Phase II - CF Retail'!R19-'Phase II - CF Retail'!G4-'Phase II - CF Retail'!G7-'Phase II - CF Retail'!G8-'Phase II - CF Retail'!R18)*Assumptions!O27</f>
        <v>-11357204.326635716</v>
      </c>
      <c r="I21" s="351">
        <v>0</v>
      </c>
      <c r="J21" s="351">
        <v>0</v>
      </c>
      <c r="K21" s="351">
        <v>0</v>
      </c>
      <c r="L21" s="351">
        <v>0</v>
      </c>
      <c r="M21" s="351">
        <v>0</v>
      </c>
      <c r="N21" s="351">
        <v>0</v>
      </c>
      <c r="O21" s="351">
        <v>0</v>
      </c>
    </row>
    <row r="22" spans="2:15" ht="11.25" customHeight="1">
      <c r="B22" s="445" t="s">
        <v>322</v>
      </c>
      <c r="C22" s="445"/>
      <c r="D22" s="351"/>
      <c r="E22" s="342">
        <v>0</v>
      </c>
      <c r="F22" s="351">
        <v>0</v>
      </c>
      <c r="G22" s="343">
        <f ca="1">-('Phase II - CF Hotel'!L19-'Phase II - CF Hotel'!G4-'Phase II - CF Hotel'!G7-'Phase II - CF Hotel'!G8-'Phase II - CF Hotel'!L18)*Assumptions!O26</f>
        <v>-32130512.419858597</v>
      </c>
      <c r="H22" s="351">
        <f ca="1">-('Phase II - CF Hotel'!L19-'Phase II - CF Hotel'!G4-'Phase II - CF Hotel'!G7-'Phase II - CF Hotel'!G8-'Phase II - CF Hotel'!L18)*Assumptions!O27</f>
        <v>-10710170.806619532</v>
      </c>
      <c r="I22" s="351">
        <v>0</v>
      </c>
      <c r="J22" s="351">
        <v>0</v>
      </c>
      <c r="K22" s="351">
        <v>0</v>
      </c>
      <c r="L22" s="351">
        <v>0</v>
      </c>
      <c r="M22" s="351">
        <v>0</v>
      </c>
      <c r="N22" s="351">
        <v>0</v>
      </c>
      <c r="O22" s="351">
        <v>0</v>
      </c>
    </row>
    <row r="23" spans="2:15" ht="11.25" customHeight="1">
      <c r="B23" s="445" t="s">
        <v>323</v>
      </c>
      <c r="C23" s="445"/>
      <c r="D23" s="351"/>
      <c r="E23" s="343">
        <f ca="1">-('Phase I - CF MF Market Rental'!G8+'Phase I - CF Commercial'!G8+'Phase I - CF Civic'!G8+'Phase I - CF Retail'!G8)*Assumptions!O24</f>
        <v>-6021159.9999999991</v>
      </c>
      <c r="F23" s="351">
        <f ca="1">-('Phase I - CF MF Market Rental'!G8+'Phase I - CF Commercial'!G8+'Phase I - CF Civic'!G8+'Phase I - CF Retail'!G8)*Assumptions!O25</f>
        <v>-2007053.333333333</v>
      </c>
      <c r="G23" s="343">
        <f ca="1">-('Phase II - CF MF Market Rental'!G8+'Phase II - CF Commercial'!G8+'Phase II - CF Civic'!G8+'Phase II - CF Retail'!G8+'Phase II - CF Hotel'!G8)*Assumptions!O26</f>
        <v>-9839080</v>
      </c>
      <c r="H23" s="351">
        <f ca="1">-('Phase II - CF MF Market Rental'!G8+'Phase II - CF Commercial'!G8+'Phase II - CF Civic'!G8+'Phase II - CF Retail'!G8+'Phase II - CF Hotel'!G8)*Assumptions!O27</f>
        <v>-3279693.333333333</v>
      </c>
      <c r="I23" s="351">
        <v>0</v>
      </c>
      <c r="J23" s="351">
        <v>0</v>
      </c>
      <c r="K23" s="351">
        <v>0</v>
      </c>
      <c r="L23" s="351">
        <v>0</v>
      </c>
      <c r="M23" s="351">
        <v>0</v>
      </c>
      <c r="N23" s="351">
        <v>0</v>
      </c>
      <c r="O23" s="351">
        <v>0</v>
      </c>
    </row>
    <row r="24" spans="2:15" ht="11.25" customHeight="1">
      <c r="B24" s="161"/>
      <c r="C24" s="161" t="s">
        <v>329</v>
      </c>
      <c r="D24" s="351"/>
      <c r="E24" s="343">
        <f ca="1">-('Phase I - CF MF Market Rental'!G4+'Phase I - CF Commercial'!G4+'Phase I - CF Civic'!G4+'Phase I - CF Retail'!G4+'Phase I - CF Affordable'!G4)</f>
        <v>-1249999.9999999998</v>
      </c>
      <c r="F24" s="351">
        <v>0</v>
      </c>
      <c r="G24" s="343">
        <f>-('Phase II - CF MF Market Rental'!G4+'Phase II - CF Commercial'!G4+'Phase II - CF Civic'!G4+'Phase II - CF Retail'!G4+'Phase II - CF Affordable Rent'!G4+'Phase II - CF Hotel'!G4)</f>
        <v>-11908687.5</v>
      </c>
      <c r="H24" s="351">
        <v>0</v>
      </c>
      <c r="I24" s="351">
        <v>0</v>
      </c>
      <c r="J24" s="351">
        <v>0</v>
      </c>
      <c r="K24" s="351">
        <v>0</v>
      </c>
      <c r="L24" s="351">
        <v>0</v>
      </c>
      <c r="M24" s="351">
        <v>0</v>
      </c>
      <c r="N24" s="351">
        <v>0</v>
      </c>
      <c r="O24" s="351">
        <v>0</v>
      </c>
    </row>
    <row r="25" spans="2:15" ht="11.25" customHeight="1">
      <c r="B25" s="445" t="s">
        <v>330</v>
      </c>
      <c r="C25" s="445"/>
      <c r="D25" s="351"/>
      <c r="E25" s="343">
        <f ca="1">-('Phase I - CF MF Market Rental'!G7+'Phase I - CF Commercial'!G7+'Phase I - CF Civic'!G7+'Phase I - CF Retail'!G7+'Phase I - CF Affordable'!G7)*Assumptions!O24</f>
        <v>-2277785.0910347197</v>
      </c>
      <c r="F25" s="351">
        <f ca="1">-('Phase I - CF MF Market Rental'!G7+'Phase I - CF Commercial'!G7+'Phase I - CF Civic'!G7+'Phase I - CF Retail'!G7+'Phase I - CF Affordable'!G7)*Assumptions!O25</f>
        <v>-759261.69701157324</v>
      </c>
      <c r="G25" s="343">
        <f ca="1">-('Phase II - CF MF Market Rental'!G7+'Phase II - CF Commercial'!G7+'Phase II - CF Civic'!G7+'Phase II - CF Retail'!G7+'Phase II - CF Affordable Rent'!G7+'Phase II - CF Hotel'!G7)*Assumptions!O26</f>
        <v>-5222214.9089652803</v>
      </c>
      <c r="H25" s="351">
        <f ca="1">-('Phase II - CF MF Market Rental'!G7+'Phase II - CF Commercial'!G7+'Phase II - CF Civic'!G7+'Phase II - CF Retail'!G7+'Phase II - CF Affordable Rent'!G7+'Phase II - CF Hotel'!G7)*Assumptions!O27</f>
        <v>-1740738.3029884268</v>
      </c>
      <c r="I25" s="351">
        <v>0</v>
      </c>
      <c r="J25" s="351">
        <v>0</v>
      </c>
      <c r="K25" s="351">
        <v>0</v>
      </c>
      <c r="L25" s="351">
        <v>0</v>
      </c>
      <c r="M25" s="351">
        <v>0</v>
      </c>
      <c r="N25" s="351">
        <v>0</v>
      </c>
      <c r="O25" s="351">
        <v>0</v>
      </c>
    </row>
    <row r="26" spans="2:15" ht="11.25" customHeight="1">
      <c r="B26" s="172"/>
      <c r="C26" s="172" t="s">
        <v>331</v>
      </c>
      <c r="D26" s="353"/>
      <c r="E26" s="343">
        <f ca="1">-('Phase I - CF MF Market Rental'!R34+'Phase I - CF Commercial'!R18+'Phase I - CF Civic'!R18+'Phase I - CF Retail'!R18+'Phase I - CF Affordable'!R35)*Assumptions!O24</f>
        <v>-906931.15279331314</v>
      </c>
      <c r="F26" s="353">
        <f ca="1">-('Phase I - CF MF Market Rental'!R34+'Phase I - CF Commercial'!R18+'Phase I - CF Civic'!R18+'Phase I - CF Retail'!R18+'Phase I - CF Affordable'!R35)*Assumptions!O25</f>
        <v>-302310.38426443771</v>
      </c>
      <c r="G26" s="343">
        <f ca="1">-('Phase II - CF MF Market Rental'!R34+'Phase II - CF Commercial'!R18+'Phase II - CF Civic'!R18+'Phase II - CF Retail'!R18+'Phase II - CF Affordable Rent'!R35+'Phase II - CF Hotel'!L18)*Assumptions!O26</f>
        <v>-2414767.1253236532</v>
      </c>
      <c r="H26" s="353">
        <f ca="1">-('Phase II - CF MF Market Rental'!R34+'Phase II - CF Commercial'!R18+'Phase II - CF Civic'!R18+'Phase II - CF Retail'!R18+'Phase II - CF Affordable Rent'!R35+'Phase II - CF Hotel'!L18)*Assumptions!O27</f>
        <v>-804922.37510788441</v>
      </c>
      <c r="I26" s="353">
        <v>0</v>
      </c>
      <c r="J26" s="353">
        <v>0</v>
      </c>
      <c r="K26" s="353">
        <v>0</v>
      </c>
      <c r="L26" s="353">
        <v>0</v>
      </c>
      <c r="M26" s="353">
        <v>0</v>
      </c>
      <c r="N26" s="353">
        <v>0</v>
      </c>
      <c r="O26" s="353">
        <v>0</v>
      </c>
    </row>
    <row r="27" spans="2:15" ht="11.25" customHeight="1">
      <c r="B27" s="446" t="s">
        <v>332</v>
      </c>
      <c r="C27" s="446"/>
      <c r="D27" s="345"/>
      <c r="E27" s="345">
        <f ca="1">SUM(E17:E26)</f>
        <v>-91912546.432124645</v>
      </c>
      <c r="F27" s="345">
        <f ca="1">SUM(F17:F26)</f>
        <v>-30220848.81070821</v>
      </c>
      <c r="G27" s="346">
        <f ca="1">SUM(G17:G26)</f>
        <v>-246868651.53268898</v>
      </c>
      <c r="H27" s="345">
        <f ca="1">SUM(H17:H26)</f>
        <v>-78319988.010896325</v>
      </c>
      <c r="I27" s="345">
        <f t="shared" ref="I27:N27" si="4">SUM(I17:I26)</f>
        <v>0</v>
      </c>
      <c r="J27" s="345">
        <f t="shared" si="4"/>
        <v>0</v>
      </c>
      <c r="K27" s="345">
        <f t="shared" si="4"/>
        <v>0</v>
      </c>
      <c r="L27" s="345">
        <f t="shared" si="4"/>
        <v>0</v>
      </c>
      <c r="M27" s="345">
        <f t="shared" si="4"/>
        <v>0</v>
      </c>
      <c r="N27" s="345">
        <f t="shared" si="4"/>
        <v>0</v>
      </c>
      <c r="O27" s="345">
        <f t="shared" ref="O27" si="5">SUM(O17:O26)</f>
        <v>0</v>
      </c>
    </row>
    <row r="28" spans="2:15" s="111" customFormat="1" ht="11.25" customHeight="1">
      <c r="B28" s="109"/>
      <c r="C28" s="109"/>
      <c r="D28" s="110"/>
      <c r="E28" s="328"/>
      <c r="G28" s="329"/>
      <c r="M28" s="112"/>
      <c r="N28" s="112"/>
    </row>
    <row r="29" spans="2:15" ht="11.25" customHeight="1">
      <c r="B29" s="170" t="s">
        <v>333</v>
      </c>
      <c r="C29" s="170"/>
      <c r="D29" s="113"/>
      <c r="E29" s="332"/>
      <c r="F29" s="333"/>
      <c r="G29" s="333"/>
      <c r="H29" s="333"/>
      <c r="I29" s="333"/>
      <c r="J29" s="333"/>
      <c r="K29" s="333"/>
      <c r="L29" s="333"/>
      <c r="M29" s="334"/>
      <c r="N29" s="334"/>
      <c r="O29" s="334"/>
    </row>
    <row r="30" spans="2:15" ht="11.25" customHeight="1">
      <c r="B30" s="445" t="s">
        <v>334</v>
      </c>
      <c r="C30" s="445"/>
      <c r="D30" s="99"/>
      <c r="E30" s="342">
        <f t="shared" ref="E30" si="6">E12</f>
        <v>0</v>
      </c>
      <c r="F30" s="342">
        <f t="shared" ref="F30:O30" ca="1" si="7">F12</f>
        <v>7005827.3582197893</v>
      </c>
      <c r="G30" s="342">
        <f t="shared" ca="1" si="7"/>
        <v>7632532.8360085338</v>
      </c>
      <c r="H30" s="342">
        <f t="shared" ca="1" si="7"/>
        <v>23944831.097656112</v>
      </c>
      <c r="I30" s="342">
        <f t="shared" ca="1" si="7"/>
        <v>26344294.889634483</v>
      </c>
      <c r="J30" s="342">
        <f t="shared" ca="1" si="7"/>
        <v>27479712.503619328</v>
      </c>
      <c r="K30" s="342">
        <f t="shared" ca="1" si="7"/>
        <v>28647197.671199866</v>
      </c>
      <c r="L30" s="342">
        <f t="shared" ca="1" si="7"/>
        <v>29847572.820062131</v>
      </c>
      <c r="M30" s="342">
        <f t="shared" ca="1" si="7"/>
        <v>31081677.213953413</v>
      </c>
      <c r="N30" s="342">
        <f t="shared" ca="1" si="7"/>
        <v>32350367.045762245</v>
      </c>
      <c r="O30" s="342">
        <f t="shared" ca="1" si="7"/>
        <v>33654515.5122343</v>
      </c>
    </row>
    <row r="31" spans="2:15" ht="11.25" customHeight="1">
      <c r="B31" s="161"/>
      <c r="C31" s="161" t="s">
        <v>335</v>
      </c>
      <c r="D31" s="335"/>
      <c r="E31" s="350"/>
      <c r="F31" s="350"/>
      <c r="G31" s="350"/>
      <c r="H31" s="342"/>
      <c r="I31" s="342"/>
      <c r="J31" s="342"/>
      <c r="K31" s="342"/>
      <c r="L31" s="342"/>
      <c r="M31" s="342"/>
      <c r="N31" s="342">
        <f ca="1">IF(N4&gt;Assumptions!$C$65,'Summary Board'!O30/Assumptions!$D$75)</f>
        <v>611900282.04062366</v>
      </c>
      <c r="O31" s="343">
        <v>0</v>
      </c>
    </row>
    <row r="32" spans="2:15" ht="11.25" customHeight="1">
      <c r="B32" s="312"/>
      <c r="C32" s="177" t="s">
        <v>336</v>
      </c>
      <c r="D32" s="336"/>
      <c r="E32" s="342"/>
      <c r="F32" s="343"/>
      <c r="G32" s="343"/>
      <c r="H32" s="342"/>
      <c r="I32" s="342"/>
      <c r="J32" s="342"/>
      <c r="K32" s="342"/>
      <c r="L32" s="342"/>
      <c r="M32" s="342"/>
      <c r="N32" s="342">
        <f ca="1">Assumptions!$D$76*N31</f>
        <v>6119002.8204062367</v>
      </c>
      <c r="O32" s="343">
        <v>0</v>
      </c>
    </row>
    <row r="33" spans="2:16" ht="11.25" customHeight="1">
      <c r="B33" s="445" t="s">
        <v>332</v>
      </c>
      <c r="C33" s="445"/>
      <c r="D33" s="339"/>
      <c r="E33" s="342">
        <f ca="1">E27</f>
        <v>-91912546.432124645</v>
      </c>
      <c r="F33" s="342">
        <f ca="1">F27</f>
        <v>-30220848.81070821</v>
      </c>
      <c r="G33" s="342">
        <f ca="1">G27</f>
        <v>-246868651.53268898</v>
      </c>
      <c r="H33" s="342">
        <f ca="1">H27</f>
        <v>-78319988.010896325</v>
      </c>
      <c r="I33" s="342">
        <f t="shared" ref="I33:N33" si="8">I27</f>
        <v>0</v>
      </c>
      <c r="J33" s="342">
        <f t="shared" si="8"/>
        <v>0</v>
      </c>
      <c r="K33" s="342">
        <f t="shared" si="8"/>
        <v>0</v>
      </c>
      <c r="L33" s="342">
        <f t="shared" si="8"/>
        <v>0</v>
      </c>
      <c r="M33" s="342">
        <f t="shared" si="8"/>
        <v>0</v>
      </c>
      <c r="N33" s="342">
        <f t="shared" si="8"/>
        <v>0</v>
      </c>
      <c r="O33" s="343">
        <v>0</v>
      </c>
    </row>
    <row r="34" spans="2:16" ht="11.25" customHeight="1">
      <c r="B34" s="114" t="s">
        <v>142</v>
      </c>
      <c r="C34" s="115"/>
      <c r="D34" s="93"/>
      <c r="E34" s="345">
        <f t="shared" ref="E34:N34" ca="1" si="9">E33+E30+E31-E32</f>
        <v>-91912546.432124645</v>
      </c>
      <c r="F34" s="345">
        <f t="shared" ca="1" si="9"/>
        <v>-23215021.452488422</v>
      </c>
      <c r="G34" s="345">
        <f t="shared" ca="1" si="9"/>
        <v>-239236118.69668043</v>
      </c>
      <c r="H34" s="346">
        <f t="shared" ca="1" si="9"/>
        <v>-54375156.913240209</v>
      </c>
      <c r="I34" s="346">
        <f t="shared" ca="1" si="9"/>
        <v>26344294.889634483</v>
      </c>
      <c r="J34" s="346">
        <f t="shared" ca="1" si="9"/>
        <v>27479712.503619328</v>
      </c>
      <c r="K34" s="346">
        <f t="shared" ca="1" si="9"/>
        <v>28647197.671199866</v>
      </c>
      <c r="L34" s="346">
        <f t="shared" ca="1" si="9"/>
        <v>29847572.820062131</v>
      </c>
      <c r="M34" s="356">
        <f t="shared" ca="1" si="9"/>
        <v>31081677.213953413</v>
      </c>
      <c r="N34" s="356">
        <f t="shared" ca="1" si="9"/>
        <v>638131646.26597977</v>
      </c>
      <c r="O34" s="346">
        <v>0</v>
      </c>
    </row>
    <row r="35" spans="2:16" ht="11.25" customHeight="1">
      <c r="B35" s="114" t="s">
        <v>337</v>
      </c>
      <c r="C35" s="115"/>
      <c r="D35" s="93"/>
      <c r="E35" s="366">
        <f ca="1">E30+E31-E32+E33+E36+L68</f>
        <v>-12756815.786422163</v>
      </c>
      <c r="F35" s="366">
        <f ca="1">F30+F31-F32+F33+F36</f>
        <v>-28025831.716560572</v>
      </c>
      <c r="G35" s="366">
        <f ca="1">G30+G31-G32+G33+G36+L69</f>
        <v>-33545122.5293127</v>
      </c>
      <c r="H35" s="366">
        <f t="shared" ref="H35:N35" ca="1" si="10">H30+H31-H32+H33+H36</f>
        <v>-72431281.971055567</v>
      </c>
      <c r="I35" s="366">
        <f t="shared" ca="1" si="10"/>
        <v>8288169.8318191171</v>
      </c>
      <c r="J35" s="366">
        <f t="shared" ca="1" si="10"/>
        <v>9423587.4458039626</v>
      </c>
      <c r="K35" s="366">
        <f t="shared" ca="1" si="10"/>
        <v>10591072.6133845</v>
      </c>
      <c r="L35" s="366">
        <f t="shared" ca="1" si="10"/>
        <v>11791447.762246765</v>
      </c>
      <c r="M35" s="366">
        <f t="shared" ca="1" si="10"/>
        <v>13025552.156138048</v>
      </c>
      <c r="N35" s="366">
        <f t="shared" ca="1" si="10"/>
        <v>377082488.26962489</v>
      </c>
      <c r="O35" s="346">
        <v>0</v>
      </c>
    </row>
    <row r="36" spans="2:16" ht="11.25" customHeight="1">
      <c r="B36" s="114" t="s">
        <v>338</v>
      </c>
      <c r="C36" s="115"/>
      <c r="D36" s="93"/>
      <c r="E36" s="346">
        <f>'Phase I - CF MF Market Rental'!G78+'Phase I - CF Commercial'!G79+'Phase I - CF Civic'!G79+'Phase I - CF Retail'!G81</f>
        <v>0</v>
      </c>
      <c r="F36" s="346">
        <f ca="1">'Phase I - CF MF Market Rental'!H78+'Phase I - CF Commercial'!H79+'Phase I - CF Civic'!H79+'Phase I - CF Retail'!H81</f>
        <v>-4810810.2640721481</v>
      </c>
      <c r="G36" s="346">
        <f ca="1">'Phase I - CF MF Market Rental'!I78+'Phase I - CF Commercial'!I79+'Phase I - CF Civic'!I79+'Phase I - CF Retail'!I81</f>
        <v>-4810810.2640721481</v>
      </c>
      <c r="H36" s="346">
        <f ca="1">'Phase I - CF MF Market Rental'!J78+'Phase I - CF Commercial'!J79+'Phase I - CF Civic'!J79+'Phase I - CF Retail'!J81+'Phase II - CF MF Market Rental'!I78+'Phase II - CF Affordable Rent'!I77+'Phase II - CF Commercial'!I79+'Phase II - CF Retail'!I81+'Phase II - CF Civic'!I79+'Phase II - CF Hotel'!I87</f>
        <v>-18056125.057815365</v>
      </c>
      <c r="I36" s="346">
        <f ca="1">'Phase I - CF MF Market Rental'!K78+'Phase I - CF Commercial'!K79+'Phase I - CF Civic'!K79+'Phase I - CF Retail'!K81+'Phase II - CF MF Market Rental'!J78+'Phase II - CF Affordable Rent'!J77+'Phase II - CF Commercial'!J79+'Phase II - CF Retail'!J81+'Phase II - CF Civic'!J79+'Phase II - CF Hotel'!J87</f>
        <v>-18056125.057815365</v>
      </c>
      <c r="J36" s="346">
        <f ca="1">'Phase I - CF MF Market Rental'!L78+'Phase I - CF Commercial'!L79+'Phase I - CF Civic'!L79+'Phase I - CF Retail'!L81+'Phase II - CF MF Market Rental'!K78+'Phase II - CF Affordable Rent'!K77+'Phase II - CF Commercial'!K79+'Phase II - CF Retail'!K81+'Phase II - CF Civic'!K79+'Phase II - CF Hotel'!K87</f>
        <v>-18056125.057815365</v>
      </c>
      <c r="K36" s="346">
        <f ca="1">'Phase I - CF MF Market Rental'!M78+'Phase I - CF Commercial'!M79+'Phase I - CF Civic'!M79+'Phase I - CF Retail'!M81+'Phase II - CF MF Market Rental'!L78+'Phase II - CF Affordable Rent'!L77+'Phase II - CF Commercial'!L79+'Phase II - CF Retail'!L81+'Phase II - CF Civic'!L79+'Phase II - CF Hotel'!L87</f>
        <v>-18056125.057815365</v>
      </c>
      <c r="L36" s="346">
        <f ca="1">'Phase I - CF MF Market Rental'!N78+'Phase I - CF Commercial'!N79+'Phase I - CF Civic'!N79+'Phase I - CF Retail'!N81+'Phase II - CF MF Market Rental'!M78+'Phase II - CF Affordable Rent'!M77+'Phase II - CF Commercial'!M79+'Phase II - CF Retail'!M81+'Phase II - CF Civic'!M79+'Phase II - CF Hotel'!M87</f>
        <v>-18056125.057815365</v>
      </c>
      <c r="M36" s="346">
        <f ca="1">'Phase I - CF MF Market Rental'!O78+'Phase I - CF Commercial'!O79+'Phase I - CF Civic'!O79+'Phase I - CF Retail'!O81+'Phase II - CF MF Market Rental'!N78+'Phase II - CF Affordable Rent'!N77+'Phase II - CF Commercial'!N79+'Phase II - CF Retail'!N81+'Phase II - CF Civic'!N79+'Phase II - CF Hotel'!N87</f>
        <v>-18056125.057815365</v>
      </c>
      <c r="N36" s="346">
        <f ca="1">'Phase I - CF MF Market Rental'!P78+'Phase I - CF Commercial'!P79+'Phase I - CF Civic'!P79+'Phase I - CF Retail'!P81+'Phase II - CF MF Market Rental'!O78+'Phase II - CF Affordable Rent'!O77+'Phase II - CF Commercial'!O79+'Phase II - CF Retail'!O81+'Phase II - CF Civic'!O79+'Phase II - CF Hotel'!O87</f>
        <v>-261049157.99635488</v>
      </c>
      <c r="O36" s="346">
        <v>0</v>
      </c>
    </row>
    <row r="37" spans="2:16" ht="11.25" customHeight="1">
      <c r="B37" s="116" t="s">
        <v>339</v>
      </c>
      <c r="C37" s="116"/>
      <c r="D37" s="414">
        <f ca="1">NPV(Assumptions!D77,'Summary Board'!F14:N14)+(SUM('Summary Board'!E27:N27))</f>
        <v>10761729.875427008</v>
      </c>
      <c r="E37" s="117"/>
      <c r="F37" s="166"/>
      <c r="G37" s="166"/>
      <c r="I37" s="166"/>
      <c r="J37" s="166"/>
      <c r="K37" s="166"/>
      <c r="L37" s="166"/>
      <c r="M37" s="313"/>
      <c r="N37" s="313"/>
      <c r="O37" s="166"/>
    </row>
    <row r="38" spans="2:16" ht="11.25" customHeight="1">
      <c r="B38" s="114" t="s">
        <v>340</v>
      </c>
      <c r="C38" s="118"/>
      <c r="D38" s="365">
        <f ca="1">L70/J40</f>
        <v>0.47337375970993945</v>
      </c>
      <c r="E38" s="101"/>
      <c r="F38" s="171"/>
      <c r="G38" s="171"/>
      <c r="H38" s="116"/>
      <c r="I38" s="171"/>
      <c r="J38" s="171"/>
      <c r="K38" s="171"/>
      <c r="L38" s="171"/>
      <c r="M38" s="92"/>
      <c r="N38" s="357"/>
      <c r="O38" s="171"/>
    </row>
    <row r="39" spans="2:16" ht="11.25" customHeight="1">
      <c r="B39" s="118" t="s">
        <v>341</v>
      </c>
      <c r="C39" s="118"/>
      <c r="D39" s="364">
        <f ca="1">IRR(E34:N34)</f>
        <v>0.10004056790305893</v>
      </c>
      <c r="E39" s="101"/>
      <c r="F39" s="171"/>
      <c r="G39" s="119" t="s">
        <v>342</v>
      </c>
      <c r="H39" s="166"/>
      <c r="I39" s="120"/>
      <c r="J39" s="337">
        <f ca="1">Parcels!G48+Parcels!G50</f>
        <v>23274492.481249999</v>
      </c>
      <c r="K39" s="171"/>
      <c r="L39" s="171"/>
      <c r="M39" s="315"/>
      <c r="N39" s="315"/>
      <c r="O39" s="171"/>
    </row>
    <row r="40" spans="2:16" ht="11.25" customHeight="1">
      <c r="B40" s="118" t="s">
        <v>343</v>
      </c>
      <c r="C40" s="118"/>
      <c r="D40" s="364">
        <f ca="1">IRR(E35:N35)</f>
        <v>0.17968061081616282</v>
      </c>
      <c r="E40" s="101"/>
      <c r="F40" s="171"/>
      <c r="G40" s="121" t="s">
        <v>344</v>
      </c>
      <c r="H40" s="171"/>
      <c r="I40" s="122"/>
      <c r="J40" s="338">
        <f ca="1">N31</f>
        <v>611900282.04062366</v>
      </c>
      <c r="K40" s="171"/>
      <c r="L40" s="171"/>
      <c r="M40" s="315"/>
      <c r="N40" s="315"/>
      <c r="O40" s="171"/>
    </row>
    <row r="41" spans="2:16" ht="11.25" customHeight="1">
      <c r="N41" s="123"/>
      <c r="O41" s="124"/>
    </row>
    <row r="42" spans="2:16" s="91" customFormat="1" ht="11.25" customHeight="1">
      <c r="B42" s="447" t="s">
        <v>345</v>
      </c>
      <c r="C42" s="447"/>
      <c r="D42" s="448"/>
      <c r="E42" s="449"/>
      <c r="F42" s="449"/>
      <c r="G42" s="449"/>
      <c r="H42" s="449"/>
      <c r="I42" s="449"/>
      <c r="J42" s="449"/>
      <c r="K42" s="449"/>
      <c r="L42" s="449"/>
      <c r="M42" s="449"/>
      <c r="N42" s="449"/>
      <c r="O42" s="449"/>
    </row>
    <row r="43" spans="2:16" ht="11.25" customHeight="1">
      <c r="E43" s="98" t="s">
        <v>346</v>
      </c>
      <c r="F43" s="165"/>
      <c r="G43" s="165"/>
      <c r="H43" s="165"/>
      <c r="I43" s="165"/>
      <c r="J43" s="165"/>
      <c r="K43" s="165"/>
      <c r="L43" s="165"/>
      <c r="M43" s="165"/>
      <c r="N43" s="165"/>
      <c r="O43" s="165"/>
    </row>
    <row r="44" spans="2:16" s="103" customFormat="1" ht="11.25" customHeight="1">
      <c r="B44" s="93"/>
      <c r="C44" s="93"/>
      <c r="D44" s="115" t="s">
        <v>347</v>
      </c>
      <c r="E44" s="95">
        <v>2020</v>
      </c>
      <c r="F44" s="94">
        <f t="shared" ref="F44:L44" si="11">E44+1</f>
        <v>2021</v>
      </c>
      <c r="G44" s="94">
        <f t="shared" si="11"/>
        <v>2022</v>
      </c>
      <c r="H44" s="94">
        <f t="shared" si="11"/>
        <v>2023</v>
      </c>
      <c r="I44" s="367">
        <f t="shared" si="11"/>
        <v>2024</v>
      </c>
      <c r="J44" s="367">
        <f t="shared" si="11"/>
        <v>2025</v>
      </c>
      <c r="K44" s="368">
        <f t="shared" si="11"/>
        <v>2026</v>
      </c>
      <c r="L44" s="368">
        <f t="shared" si="11"/>
        <v>2027</v>
      </c>
      <c r="M44" s="368">
        <f>L44+1</f>
        <v>2028</v>
      </c>
      <c r="N44" s="368">
        <f>M44+1</f>
        <v>2029</v>
      </c>
    </row>
    <row r="45" spans="2:16" ht="11.25" customHeight="1">
      <c r="B45" s="96" t="s">
        <v>348</v>
      </c>
      <c r="C45" s="96"/>
      <c r="D45" s="125"/>
      <c r="E45" s="98"/>
      <c r="F45" s="165"/>
      <c r="G45" s="165"/>
      <c r="H45" s="165"/>
      <c r="I45" s="165"/>
      <c r="J45" s="165"/>
      <c r="K45" s="165"/>
      <c r="L45" s="165"/>
      <c r="M45" s="313"/>
      <c r="N45" s="313"/>
      <c r="O45" s="165"/>
    </row>
    <row r="46" spans="2:16" ht="11.25" customHeight="1">
      <c r="B46" s="321" t="s">
        <v>317</v>
      </c>
      <c r="C46" s="161" t="s">
        <v>318</v>
      </c>
      <c r="D46" s="99" t="s">
        <v>349</v>
      </c>
      <c r="E46" s="100"/>
      <c r="F46" s="162"/>
      <c r="G46" s="162"/>
      <c r="H46" s="162"/>
      <c r="I46" s="369">
        <f ca="1">'Phase I - CF MF Market Rental'!$G$17</f>
        <v>104</v>
      </c>
      <c r="J46" s="369">
        <f ca="1">'Phase I - CF MF Market Rental'!$G$17</f>
        <v>104</v>
      </c>
      <c r="K46" s="369">
        <f ca="1">'Phase I - CF MF Market Rental'!$G$17+'Phase II - CF MF Market Rental'!$G$17</f>
        <v>397</v>
      </c>
      <c r="L46" s="369">
        <f ca="1">'Phase I - CF MF Market Rental'!$G$17+'Phase II - CF MF Market Rental'!$G$17</f>
        <v>397</v>
      </c>
      <c r="M46" s="369">
        <f ca="1">'Phase I - CF MF Market Rental'!$G$17+'Phase II - CF MF Market Rental'!$G$17</f>
        <v>397</v>
      </c>
      <c r="N46" s="369">
        <f ca="1">'Phase I - CF MF Market Rental'!$G$17+'Phase II - CF MF Market Rental'!$G$17</f>
        <v>397</v>
      </c>
      <c r="O46" s="433"/>
    </row>
    <row r="47" spans="2:16" ht="11.25" customHeight="1">
      <c r="B47" s="321" t="s">
        <v>319</v>
      </c>
      <c r="C47" s="161" t="s">
        <v>318</v>
      </c>
      <c r="D47" s="99" t="s">
        <v>349</v>
      </c>
      <c r="E47" s="100"/>
      <c r="F47" s="162"/>
      <c r="G47" s="162"/>
      <c r="H47" s="162"/>
      <c r="I47" s="369">
        <f ca="1">'Phase I - CF Affordable'!$G$17</f>
        <v>15</v>
      </c>
      <c r="J47" s="369">
        <f ca="1">'Phase I - CF Affordable'!$G$17</f>
        <v>15</v>
      </c>
      <c r="K47" s="369">
        <f ca="1">'Phase II - CF Affordable Rent'!$G$17+'Phase I - CF Affordable'!$G$17</f>
        <v>119</v>
      </c>
      <c r="L47" s="369">
        <f ca="1">'Phase II - CF Affordable Rent'!$G$17+'Phase I - CF Affordable'!$G$17</f>
        <v>119</v>
      </c>
      <c r="M47" s="369">
        <f ca="1">'Phase II - CF Affordable Rent'!$G$17+'Phase I - CF Affordable'!$G$17</f>
        <v>119</v>
      </c>
      <c r="N47" s="369">
        <f ca="1">'Phase II - CF Affordable Rent'!$G$17+'Phase I - CF Affordable'!$G$17</f>
        <v>119</v>
      </c>
      <c r="O47" s="369"/>
      <c r="P47" s="425"/>
    </row>
    <row r="48" spans="2:16" ht="11.25" customHeight="1">
      <c r="B48" s="445" t="s">
        <v>377</v>
      </c>
      <c r="C48" s="445"/>
      <c r="D48" s="99" t="s">
        <v>349</v>
      </c>
      <c r="E48" s="100"/>
      <c r="F48" s="162"/>
      <c r="G48" s="162"/>
      <c r="H48" s="162"/>
      <c r="I48" s="369">
        <f ca="1">'Phase I - CF Retail'!$G$19</f>
        <v>16.387</v>
      </c>
      <c r="J48" s="369">
        <f ca="1">'Phase I - CF Retail'!$G$19</f>
        <v>16.387</v>
      </c>
      <c r="K48" s="369">
        <f ca="1">'Phase I - CF Retail'!$G$19+'Phase II - CF Retail'!$G$19</f>
        <v>53.711399999999998</v>
      </c>
      <c r="L48" s="369">
        <f ca="1">'Phase I - CF Retail'!$G$19+'Phase II - CF Retail'!$G$19</f>
        <v>53.711399999999998</v>
      </c>
      <c r="M48" s="369">
        <f ca="1">'Phase I - CF Retail'!$G$19+'Phase II - CF Retail'!$G$19</f>
        <v>53.711399999999998</v>
      </c>
      <c r="N48" s="369">
        <f ca="1">'Phase I - CF Retail'!$G$19+'Phase II - CF Retail'!$G$19</f>
        <v>53.711399999999998</v>
      </c>
      <c r="O48" s="162"/>
    </row>
    <row r="49" spans="2:15" ht="11.25" customHeight="1">
      <c r="B49" s="445" t="s">
        <v>322</v>
      </c>
      <c r="C49" s="445"/>
      <c r="D49" s="99" t="s">
        <v>350</v>
      </c>
      <c r="E49" s="100"/>
      <c r="F49" s="162"/>
      <c r="G49" s="162"/>
      <c r="H49" s="162"/>
      <c r="I49" s="369"/>
      <c r="J49" s="369"/>
      <c r="K49" s="369">
        <f ca="1">'Phase II - CF Hotel'!$G$20</f>
        <v>173</v>
      </c>
      <c r="L49" s="369">
        <f ca="1">'Phase II - CF Hotel'!$G$20</f>
        <v>173</v>
      </c>
      <c r="M49" s="369">
        <f ca="1">'Phase II - CF Hotel'!$G$20</f>
        <v>173</v>
      </c>
      <c r="N49" s="369">
        <f ca="1">'Phase II - CF Hotel'!$G$20</f>
        <v>173</v>
      </c>
      <c r="O49" s="162"/>
    </row>
    <row r="50" spans="2:15" ht="11.25" customHeight="1">
      <c r="B50" s="445" t="s">
        <v>323</v>
      </c>
      <c r="C50" s="445"/>
      <c r="D50" s="99" t="s">
        <v>351</v>
      </c>
      <c r="E50" s="100"/>
      <c r="F50" s="162"/>
      <c r="G50" s="162"/>
      <c r="H50" s="162"/>
      <c r="I50" s="369">
        <f ca="1">Assumptions!$T$11</f>
        <v>669.01777777777784</v>
      </c>
      <c r="J50" s="369">
        <f ca="1">Assumptions!$T$11</f>
        <v>669.01777777777784</v>
      </c>
      <c r="K50" s="369">
        <f ca="1">Assumptions!$T$11+Assumptions!$T$21</f>
        <v>1762.248888888889</v>
      </c>
      <c r="L50" s="369">
        <f ca="1">Assumptions!$T$11+Assumptions!$T$21</f>
        <v>1762.248888888889</v>
      </c>
      <c r="M50" s="369">
        <f ca="1">Assumptions!$T$11+Assumptions!$T$21</f>
        <v>1762.248888888889</v>
      </c>
      <c r="N50" s="369">
        <f ca="1">Assumptions!$T$11+Assumptions!$T$21</f>
        <v>1762.248888888889</v>
      </c>
      <c r="O50" s="162"/>
    </row>
    <row r="51" spans="2:15" ht="11.25" customHeight="1">
      <c r="B51" s="96" t="s">
        <v>352</v>
      </c>
      <c r="C51" s="96"/>
      <c r="D51" s="125"/>
      <c r="E51" s="98"/>
      <c r="F51" s="165"/>
      <c r="G51" s="165"/>
      <c r="H51" s="165"/>
      <c r="I51" s="369"/>
      <c r="J51" s="369"/>
      <c r="K51" s="369"/>
      <c r="L51" s="369"/>
      <c r="M51" s="369"/>
      <c r="N51" s="369"/>
      <c r="O51" s="165"/>
    </row>
    <row r="52" spans="2:15" ht="11.25" customHeight="1">
      <c r="B52" s="321" t="s">
        <v>317</v>
      </c>
      <c r="C52" s="161" t="s">
        <v>318</v>
      </c>
      <c r="D52" s="99" t="s">
        <v>353</v>
      </c>
      <c r="E52" s="100"/>
      <c r="F52" s="162"/>
      <c r="G52" s="162"/>
      <c r="H52" s="162"/>
      <c r="I52" s="369">
        <f ca="1">Assumptions!$P$7</f>
        <v>116102.34999999999</v>
      </c>
      <c r="J52" s="369">
        <f ca="1">Assumptions!$P$7</f>
        <v>116102.34999999999</v>
      </c>
      <c r="K52" s="369">
        <f ca="1">Assumptions!$P$7+Assumptions!$P$16</f>
        <v>441883.74999999994</v>
      </c>
      <c r="L52" s="369">
        <f ca="1">Assumptions!$P$7+Assumptions!$P$16</f>
        <v>441883.74999999994</v>
      </c>
      <c r="M52" s="369">
        <f ca="1">Assumptions!$P$7+Assumptions!$P$16</f>
        <v>441883.74999999994</v>
      </c>
      <c r="N52" s="369">
        <f ca="1">Assumptions!$P$7+Assumptions!$P$16</f>
        <v>441883.74999999994</v>
      </c>
      <c r="O52" s="162"/>
    </row>
    <row r="53" spans="2:15" ht="11.25" customHeight="1">
      <c r="B53" s="321" t="s">
        <v>319</v>
      </c>
      <c r="C53" s="161" t="s">
        <v>318</v>
      </c>
      <c r="D53" s="99" t="s">
        <v>353</v>
      </c>
      <c r="E53" s="100"/>
      <c r="F53" s="162"/>
      <c r="G53" s="162"/>
      <c r="H53" s="162"/>
      <c r="I53" s="369">
        <f ca="1">Assumptions!$P$8</f>
        <v>20488.649999999998</v>
      </c>
      <c r="J53" s="369">
        <f ca="1">Assumptions!$P$8</f>
        <v>20488.649999999998</v>
      </c>
      <c r="K53" s="369">
        <f ca="1">Assumptions!$P$8+Assumptions!$P$17</f>
        <v>160109.25</v>
      </c>
      <c r="L53" s="369">
        <f ca="1">Assumptions!$P$8+Assumptions!$P$17</f>
        <v>160109.25</v>
      </c>
      <c r="M53" s="369">
        <f ca="1">Assumptions!$P$8+Assumptions!$P$17</f>
        <v>160109.25</v>
      </c>
      <c r="N53" s="369">
        <f ca="1">Assumptions!$P$8+Assumptions!$P$17</f>
        <v>160109.25</v>
      </c>
      <c r="O53" s="162"/>
    </row>
    <row r="54" spans="2:15" ht="11.25" customHeight="1">
      <c r="B54" s="445" t="s">
        <v>320</v>
      </c>
      <c r="C54" s="445"/>
      <c r="D54" s="99" t="s">
        <v>353</v>
      </c>
      <c r="E54" s="100"/>
      <c r="F54" s="162"/>
      <c r="G54" s="162"/>
      <c r="H54" s="162"/>
      <c r="I54" s="369">
        <f ca="1">Assumptions!$P$6</f>
        <v>132776</v>
      </c>
      <c r="J54" s="369">
        <f ca="1">Assumptions!$P$6</f>
        <v>132776</v>
      </c>
      <c r="K54" s="369">
        <f ca="1">Assumptions!$P$6+Assumptions!$P$15</f>
        <v>399004</v>
      </c>
      <c r="L54" s="369">
        <f ca="1">Assumptions!$P$6+Assumptions!$P$15</f>
        <v>399004</v>
      </c>
      <c r="M54" s="369">
        <f ca="1">Assumptions!$P$6+Assumptions!$P$15</f>
        <v>399004</v>
      </c>
      <c r="N54" s="369">
        <f ca="1">Assumptions!$P$6+Assumptions!$P$15</f>
        <v>399004</v>
      </c>
      <c r="O54" s="162"/>
    </row>
    <row r="55" spans="2:15" s="176" customFormat="1" ht="11.25" customHeight="1">
      <c r="B55" s="177"/>
      <c r="C55" s="177" t="s">
        <v>378</v>
      </c>
      <c r="D55" s="99" t="s">
        <v>353</v>
      </c>
      <c r="E55" s="100"/>
      <c r="F55" s="178"/>
      <c r="G55" s="178"/>
      <c r="H55" s="178"/>
      <c r="I55" s="369">
        <f ca="1">Assumptions!$P$10</f>
        <v>121075</v>
      </c>
      <c r="J55" s="369">
        <f ca="1">Assumptions!$P$10</f>
        <v>121075</v>
      </c>
      <c r="K55" s="369">
        <f ca="1">Assumptions!$P$10+Assumptions!$P$19</f>
        <v>223321</v>
      </c>
      <c r="L55" s="369">
        <f ca="1">Assumptions!$P$10+Assumptions!$P$19</f>
        <v>223321</v>
      </c>
      <c r="M55" s="369">
        <f ca="1">Assumptions!$P$10+Assumptions!$P$19</f>
        <v>223321</v>
      </c>
      <c r="N55" s="369">
        <f ca="1">Assumptions!$P$10+Assumptions!$P$19</f>
        <v>223321</v>
      </c>
      <c r="O55" s="178"/>
    </row>
    <row r="56" spans="2:15" ht="11.25" customHeight="1">
      <c r="B56" s="445" t="s">
        <v>321</v>
      </c>
      <c r="C56" s="445"/>
      <c r="D56" s="99" t="s">
        <v>353</v>
      </c>
      <c r="E56" s="100"/>
      <c r="F56" s="162"/>
      <c r="G56" s="162"/>
      <c r="H56" s="162"/>
      <c r="I56" s="369">
        <f ca="1">Assumptions!$P$9</f>
        <v>81935</v>
      </c>
      <c r="J56" s="369">
        <f ca="1">Assumptions!$P$9</f>
        <v>81935</v>
      </c>
      <c r="K56" s="369">
        <f ca="1">Assumptions!$P$9+Assumptions!$P$18</f>
        <v>268557</v>
      </c>
      <c r="L56" s="369">
        <f ca="1">Assumptions!$P$9+Assumptions!$P$18</f>
        <v>268557</v>
      </c>
      <c r="M56" s="369">
        <f ca="1">Assumptions!$P$9+Assumptions!$P$18</f>
        <v>268557</v>
      </c>
      <c r="N56" s="369">
        <f ca="1">Assumptions!$P$9+Assumptions!$P$18</f>
        <v>268557</v>
      </c>
      <c r="O56" s="162"/>
    </row>
    <row r="57" spans="2:15" ht="11.25" customHeight="1">
      <c r="B57" s="445" t="s">
        <v>322</v>
      </c>
      <c r="C57" s="445"/>
      <c r="D57" s="99" t="s">
        <v>353</v>
      </c>
      <c r="E57" s="100"/>
      <c r="F57" s="162"/>
      <c r="G57" s="162"/>
      <c r="H57" s="162"/>
      <c r="I57" s="369"/>
      <c r="J57" s="369"/>
      <c r="K57" s="369">
        <f ca="1">Assumptions!$P$20</f>
        <v>86675</v>
      </c>
      <c r="L57" s="369">
        <f ca="1">Assumptions!$P$20</f>
        <v>86675</v>
      </c>
      <c r="M57" s="369">
        <f ca="1">Assumptions!$P$20</f>
        <v>86675</v>
      </c>
      <c r="N57" s="369">
        <f ca="1">Assumptions!$P$20</f>
        <v>86675</v>
      </c>
      <c r="O57" s="162"/>
    </row>
    <row r="58" spans="2:15" ht="11.25" customHeight="1">
      <c r="B58" s="445" t="s">
        <v>323</v>
      </c>
      <c r="C58" s="445"/>
      <c r="D58" s="99" t="s">
        <v>353</v>
      </c>
      <c r="E58" s="100"/>
      <c r="F58" s="162"/>
      <c r="G58" s="162"/>
      <c r="H58" s="162"/>
      <c r="I58" s="369">
        <f ca="1">Assumptions!$R$11</f>
        <v>150529</v>
      </c>
      <c r="J58" s="369">
        <f ca="1">Assumptions!$R$11</f>
        <v>150529</v>
      </c>
      <c r="K58" s="369">
        <f ca="1">Assumptions!$R$11+Assumptions!$R$21</f>
        <v>396506</v>
      </c>
      <c r="L58" s="369">
        <f ca="1">Assumptions!$R$11+Assumptions!$R$21</f>
        <v>396506</v>
      </c>
      <c r="M58" s="369">
        <f ca="1">Assumptions!$R$11+Assumptions!$R$21</f>
        <v>396506</v>
      </c>
      <c r="N58" s="369">
        <f ca="1">Assumptions!$R$11+Assumptions!$R$21</f>
        <v>396506</v>
      </c>
      <c r="O58" s="162"/>
    </row>
    <row r="59" spans="2:15" ht="11.25" customHeight="1">
      <c r="B59" s="457" t="s">
        <v>37</v>
      </c>
      <c r="C59" s="457"/>
      <c r="D59" s="93" t="s">
        <v>353</v>
      </c>
      <c r="E59" s="126"/>
      <c r="F59" s="164"/>
      <c r="G59" s="164"/>
      <c r="H59" s="164"/>
      <c r="I59" s="370">
        <f t="shared" ref="I59:N59" ca="1" si="12">SUM(I52:I58)</f>
        <v>622906</v>
      </c>
      <c r="J59" s="370">
        <f t="shared" ca="1" si="12"/>
        <v>622906</v>
      </c>
      <c r="K59" s="370">
        <f t="shared" ca="1" si="12"/>
        <v>1976056</v>
      </c>
      <c r="L59" s="370">
        <f t="shared" ca="1" si="12"/>
        <v>1976056</v>
      </c>
      <c r="M59" s="370">
        <f t="shared" ca="1" si="12"/>
        <v>1976056</v>
      </c>
      <c r="N59" s="370">
        <f t="shared" ca="1" si="12"/>
        <v>1976056</v>
      </c>
      <c r="O59" s="164"/>
    </row>
    <row r="60" spans="2:15" ht="11.25" customHeight="1"/>
    <row r="61" spans="2:15" s="91" customFormat="1" ht="11.25" customHeight="1">
      <c r="B61" s="458" t="s">
        <v>354</v>
      </c>
      <c r="C61" s="458"/>
      <c r="D61" s="448"/>
      <c r="E61" s="448"/>
      <c r="F61" s="448"/>
      <c r="G61" s="448"/>
      <c r="I61" s="447" t="s">
        <v>355</v>
      </c>
      <c r="J61" s="449"/>
      <c r="K61" s="449"/>
      <c r="L61" s="449"/>
      <c r="M61" s="449"/>
      <c r="N61" s="449"/>
      <c r="O61" s="449"/>
    </row>
    <row r="62" spans="2:15" s="127" customFormat="1" ht="11.25" customHeight="1">
      <c r="B62" s="461" t="s">
        <v>327</v>
      </c>
      <c r="C62" s="461"/>
      <c r="D62" s="452" t="s">
        <v>356</v>
      </c>
      <c r="E62" s="453"/>
      <c r="F62" s="452" t="s">
        <v>357</v>
      </c>
      <c r="G62" s="453"/>
      <c r="I62" s="454"/>
      <c r="J62" s="455"/>
      <c r="K62" s="455"/>
      <c r="L62" s="452" t="s">
        <v>358</v>
      </c>
      <c r="M62" s="452"/>
      <c r="N62" s="452" t="s">
        <v>359</v>
      </c>
      <c r="O62" s="453"/>
    </row>
    <row r="63" spans="2:15" ht="11.25" customHeight="1">
      <c r="B63" s="322" t="s">
        <v>317</v>
      </c>
      <c r="C63" s="168" t="str">
        <f>C17</f>
        <v>Rental Housing</v>
      </c>
      <c r="D63" s="353">
        <f ca="1">F63/N46</f>
        <v>279442.70026703284</v>
      </c>
      <c r="E63" s="313" t="s">
        <v>360</v>
      </c>
      <c r="F63" s="460">
        <f t="shared" ref="F63:F69" ca="1" si="13">-(SUM(E17:N17))</f>
        <v>110938752.00601204</v>
      </c>
      <c r="G63" s="460"/>
      <c r="I63" s="169" t="s">
        <v>361</v>
      </c>
      <c r="J63" s="313"/>
      <c r="K63" s="313" t="s">
        <v>314</v>
      </c>
      <c r="L63" s="462">
        <f ca="1">'Phase I - CF MF Market Rental'!R28+'Phase I - CF Commercial'!R23+'Phase I - CF Civic'!R23+'Phase I - CF Retail'!R23+'Phase I - CF Affordable'!R28</f>
        <v>42187582.236050107</v>
      </c>
      <c r="M63" s="462"/>
      <c r="N63" s="465">
        <f ca="1">L63/$L$79</f>
        <v>9.4311433274672729E-2</v>
      </c>
      <c r="O63" s="465"/>
    </row>
    <row r="64" spans="2:15" ht="11.25" customHeight="1">
      <c r="B64" s="321" t="s">
        <v>319</v>
      </c>
      <c r="C64" s="161" t="s">
        <v>318</v>
      </c>
      <c r="D64" s="353">
        <f ca="1">F64/N47</f>
        <v>339574.44315173593</v>
      </c>
      <c r="E64" s="312" t="s">
        <v>360</v>
      </c>
      <c r="F64" s="459">
        <f t="shared" ca="1" si="13"/>
        <v>40409358.735056579</v>
      </c>
      <c r="G64" s="459"/>
      <c r="I64" s="316"/>
      <c r="J64" s="312"/>
      <c r="K64" s="320" t="s">
        <v>393</v>
      </c>
      <c r="L64" s="463">
        <f ca="1">'Phase II - CF MF Market Rental'!R28+'Phase II - CF Affordable Rent'!R28+'Phase II - CF Commercial'!R23+'Phase II - CF Retail'!R23+'Phase II - CF Civic'!R23+'Phase II - CF Hotel'!L23</f>
        <v>108778491.76660937</v>
      </c>
      <c r="M64" s="463"/>
      <c r="N64" s="466">
        <f ca="1">L64/$L$79</f>
        <v>0.24317713706758845</v>
      </c>
      <c r="O64" s="466"/>
    </row>
    <row r="65" spans="2:15" ht="11.25" customHeight="1">
      <c r="C65" s="161" t="s">
        <v>320</v>
      </c>
      <c r="D65" s="353">
        <f ca="1">F65/N54</f>
        <v>235.81562950017798</v>
      </c>
      <c r="E65" s="312" t="s">
        <v>362</v>
      </c>
      <c r="F65" s="459">
        <f t="shared" ca="1" si="13"/>
        <v>94091379.433089018</v>
      </c>
      <c r="G65" s="459"/>
      <c r="I65" s="316"/>
      <c r="J65" s="312"/>
      <c r="K65" s="391" t="s">
        <v>37</v>
      </c>
      <c r="L65" s="464">
        <f ca="1">'Phase I - CF MF Market Rental'!R28+'Phase I - CF Affordable'!R28+'Phase I - CF Commercial'!R23+'Phase I - CF Civic'!R23+'Phase I - CF Retail'!R23+'Phase II - CF MF Market Rental'!R28+'Phase II - CF Affordable Rent'!R28+'Phase II - CF Commercial'!R23+'Phase II - CF Retail'!R23+'Phase II - CF Civic'!R23+'Phase II - CF Hotel'!L23</f>
        <v>150966074.00265947</v>
      </c>
      <c r="M65" s="464"/>
      <c r="N65" s="467">
        <f ca="1">L65/$L$79</f>
        <v>0.33748857034226115</v>
      </c>
      <c r="O65" s="467"/>
    </row>
    <row r="66" spans="2:15" ht="11.25" customHeight="1">
      <c r="B66" s="161"/>
      <c r="C66" s="161" t="s">
        <v>378</v>
      </c>
      <c r="D66" s="353">
        <f ca="1">F66/N55</f>
        <v>204.26855903181999</v>
      </c>
      <c r="E66" s="312" t="s">
        <v>362</v>
      </c>
      <c r="F66" s="459">
        <f t="shared" ca="1" si="13"/>
        <v>45617458.871545069</v>
      </c>
      <c r="G66" s="459"/>
      <c r="I66" s="318"/>
      <c r="J66" s="319"/>
      <c r="K66" s="319"/>
      <c r="L66" s="341"/>
      <c r="M66" s="341"/>
      <c r="N66" s="359"/>
      <c r="O66" s="319"/>
    </row>
    <row r="67" spans="2:15" ht="11.25" customHeight="1">
      <c r="C67" s="161" t="s">
        <v>328</v>
      </c>
      <c r="D67" s="353">
        <f ca="1">F67/N56</f>
        <v>240.87920743112758</v>
      </c>
      <c r="E67" s="312" t="s">
        <v>362</v>
      </c>
      <c r="F67" s="459">
        <f t="shared" ca="1" si="13"/>
        <v>64689797.310081333</v>
      </c>
      <c r="G67" s="459"/>
      <c r="I67" s="340"/>
      <c r="J67" s="341"/>
      <c r="K67" s="341"/>
      <c r="L67" s="315"/>
      <c r="M67" s="315"/>
      <c r="N67" s="362"/>
      <c r="O67" s="315"/>
    </row>
    <row r="68" spans="2:15" ht="11.25" customHeight="1">
      <c r="C68" s="161" t="s">
        <v>322</v>
      </c>
      <c r="D68" s="353">
        <f ca="1">F68/N49</f>
        <v>247634.00708946897</v>
      </c>
      <c r="E68" s="312" t="s">
        <v>364</v>
      </c>
      <c r="F68" s="459">
        <f t="shared" ca="1" si="13"/>
        <v>42840683.22647813</v>
      </c>
      <c r="G68" s="459"/>
      <c r="I68" s="317" t="s">
        <v>363</v>
      </c>
      <c r="J68" s="313"/>
      <c r="K68" s="313" t="s">
        <v>314</v>
      </c>
      <c r="L68" s="462">
        <f ca="1">'Phase I - CF MF Market Rental'!R29+'Phase I - CF Commercial'!R22+'Phase I - CF Civic'!R22+'Phase I - CF Retail'!R22+'Phase I - CF Affordable'!R30</f>
        <v>79155730.645702481</v>
      </c>
      <c r="M68" s="462"/>
      <c r="N68" s="465">
        <f ca="1">L68/$L$79</f>
        <v>0.17695468698182237</v>
      </c>
      <c r="O68" s="465"/>
    </row>
    <row r="69" spans="2:15" ht="11.25" customHeight="1">
      <c r="C69" s="161" t="s">
        <v>323</v>
      </c>
      <c r="D69" s="353">
        <f ca="1">F69/N50</f>
        <v>11999.999999999998</v>
      </c>
      <c r="E69" s="312" t="s">
        <v>439</v>
      </c>
      <c r="F69" s="459">
        <f t="shared" ca="1" si="13"/>
        <v>21146986.666666664</v>
      </c>
      <c r="G69" s="459"/>
      <c r="I69" s="312"/>
      <c r="J69" s="312"/>
      <c r="K69" s="312" t="s">
        <v>393</v>
      </c>
      <c r="L69" s="463">
        <f ca="1">'Phase II - CF MF Market Rental'!R29+'Phase II - CF Affordable Rent'!R30+'Phase II - CF Commercial'!R22+'Phase II - CF Retail'!R22+'Phase II - CF Civic'!R22+'Phase II - CF Hotel'!L22</f>
        <v>210501806.43143988</v>
      </c>
      <c r="M69" s="463"/>
      <c r="N69" s="466">
        <f ca="1">L69/$L$79</f>
        <v>0.47058224290683043</v>
      </c>
      <c r="O69" s="466"/>
    </row>
    <row r="70" spans="2:15" ht="11.25" customHeight="1">
      <c r="G70" s="312"/>
      <c r="I70" s="312"/>
      <c r="J70" s="312"/>
      <c r="K70" s="391" t="s">
        <v>37</v>
      </c>
      <c r="L70" s="464">
        <f ca="1">'Phase I - CF MF Market Rental'!R29+'Phase I - CF Affordable'!R30+'Phase I - CF Commercial'!R22+'Phase I - CF Civic'!R22+'Phase I - CF Retail'!R22+'Phase II - CF MF Market Rental'!R29+'Phase II - CF Affordable Rent'!R30+'Phase II - CF Commercial'!R22+'Phase II - CF Retail'!R22+'Phase II - CF Civic'!R22+'Phase II - CF Hotel'!L22</f>
        <v>289657537.07714236</v>
      </c>
      <c r="M70" s="464"/>
      <c r="N70" s="467">
        <f ca="1">L70/L79</f>
        <v>0.64753692988865286</v>
      </c>
      <c r="O70" s="467"/>
    </row>
    <row r="71" spans="2:15" ht="11.25" customHeight="1">
      <c r="B71" s="170" t="s">
        <v>365</v>
      </c>
      <c r="C71" s="170"/>
      <c r="D71" s="456" t="s">
        <v>366</v>
      </c>
      <c r="E71" s="456"/>
      <c r="F71" s="456" t="s">
        <v>367</v>
      </c>
      <c r="G71" s="456"/>
      <c r="I71" s="312"/>
      <c r="J71" s="312"/>
      <c r="K71" s="312"/>
      <c r="L71" s="314"/>
      <c r="M71" s="314"/>
      <c r="N71" s="360"/>
      <c r="O71" s="312"/>
    </row>
    <row r="72" spans="2:15" ht="11.25" customHeight="1">
      <c r="B72" s="162"/>
      <c r="C72" s="161" t="s">
        <v>368</v>
      </c>
      <c r="D72" s="450">
        <v>0</v>
      </c>
      <c r="E72" s="450"/>
      <c r="F72" s="450">
        <v>0</v>
      </c>
      <c r="G72" s="450"/>
      <c r="I72" s="312"/>
      <c r="J72" s="312"/>
      <c r="K72" s="312"/>
      <c r="L72" s="311"/>
      <c r="M72" s="311"/>
      <c r="N72" s="358"/>
      <c r="O72" s="320"/>
    </row>
    <row r="73" spans="2:15" ht="11.25" customHeight="1">
      <c r="B73" s="162"/>
      <c r="C73" s="161" t="s">
        <v>119</v>
      </c>
      <c r="D73" s="451">
        <v>0</v>
      </c>
      <c r="E73" s="451"/>
      <c r="F73" s="451">
        <v>0</v>
      </c>
      <c r="G73" s="451"/>
      <c r="I73" s="317" t="s">
        <v>369</v>
      </c>
      <c r="J73" s="313"/>
      <c r="K73" s="313" t="s">
        <v>314</v>
      </c>
      <c r="L73" s="462">
        <f ca="1">'Phase I - CF Affordable'!R29</f>
        <v>790082.36108025361</v>
      </c>
      <c r="M73" s="462"/>
      <c r="O73" s="361"/>
    </row>
    <row r="74" spans="2:15" ht="11.25" customHeight="1">
      <c r="B74" s="162"/>
      <c r="C74" s="161" t="s">
        <v>370</v>
      </c>
      <c r="D74" s="451">
        <v>0</v>
      </c>
      <c r="E74" s="451"/>
      <c r="F74" s="451">
        <v>0</v>
      </c>
      <c r="G74" s="451"/>
      <c r="I74" s="312"/>
      <c r="J74" s="312"/>
      <c r="K74" s="312" t="s">
        <v>393</v>
      </c>
      <c r="L74" s="463">
        <f ca="1">'Phase II - CF Affordable Rent'!R29</f>
        <v>5908341.3455360653</v>
      </c>
      <c r="M74" s="463"/>
      <c r="N74" s="466">
        <f ca="1">L74/$L$79</f>
        <v>1.3208250177877126E-2</v>
      </c>
      <c r="O74" s="466"/>
    </row>
    <row r="75" spans="2:15" ht="11.25" customHeight="1">
      <c r="B75" s="162"/>
      <c r="C75" s="161" t="s">
        <v>371</v>
      </c>
      <c r="D75" s="451">
        <v>0</v>
      </c>
      <c r="E75" s="451"/>
      <c r="F75" s="451">
        <v>0</v>
      </c>
      <c r="G75" s="451"/>
      <c r="I75" s="312"/>
      <c r="J75" s="312"/>
      <c r="K75" s="391" t="s">
        <v>37</v>
      </c>
      <c r="L75" s="464">
        <f ca="1">'Phase II - CF Affordable Rent'!R29+'Phase I - CF Affordable'!R29</f>
        <v>6698423.7066163188</v>
      </c>
      <c r="M75" s="464">
        <f ca="1">'Phase II - CF Affordable Rent'!R29</f>
        <v>5908341.3455360653</v>
      </c>
      <c r="N75" s="467">
        <f ca="1">M75/$L$79</f>
        <v>1.3208250177877126E-2</v>
      </c>
      <c r="O75" s="467"/>
    </row>
    <row r="76" spans="2:15" ht="11.25" customHeight="1">
      <c r="B76" s="164"/>
      <c r="C76" s="167" t="s">
        <v>329</v>
      </c>
      <c r="D76" s="451">
        <v>0</v>
      </c>
      <c r="E76" s="451"/>
      <c r="F76" s="459">
        <f ca="1">Parcels!G49+Parcels!G51</f>
        <v>13158687.5</v>
      </c>
      <c r="G76" s="459"/>
      <c r="I76" s="312"/>
      <c r="J76" s="312"/>
      <c r="K76" s="312"/>
      <c r="L76" s="356"/>
      <c r="M76" s="356"/>
      <c r="N76" s="314"/>
      <c r="O76" s="312"/>
    </row>
    <row r="77" spans="2:15" ht="11.25" customHeight="1">
      <c r="B77" s="118"/>
      <c r="C77" s="115" t="s">
        <v>372</v>
      </c>
      <c r="D77" s="470">
        <v>0</v>
      </c>
      <c r="E77" s="470"/>
      <c r="F77" s="471">
        <f ca="1">-(SUM(E26:N26))</f>
        <v>4428931.0374892885</v>
      </c>
      <c r="G77" s="471"/>
      <c r="I77" s="312"/>
      <c r="J77" s="312"/>
      <c r="K77" s="312"/>
      <c r="L77" s="344"/>
      <c r="M77" s="344"/>
      <c r="N77" s="312"/>
      <c r="O77" s="312"/>
    </row>
    <row r="78" spans="2:15" ht="11.25" customHeight="1">
      <c r="B78" s="118"/>
      <c r="C78" s="115" t="s">
        <v>373</v>
      </c>
      <c r="D78" s="472">
        <v>0</v>
      </c>
      <c r="E78" s="472"/>
      <c r="F78" s="473">
        <f ca="1">Assumptions!F53</f>
        <v>10000000.000000002</v>
      </c>
      <c r="G78" s="473"/>
      <c r="I78" s="312"/>
      <c r="J78" s="312"/>
      <c r="K78" s="312"/>
      <c r="L78" s="344"/>
      <c r="M78" s="344"/>
      <c r="N78" s="312"/>
      <c r="O78" s="312"/>
    </row>
    <row r="79" spans="2:15" ht="11.25" customHeight="1">
      <c r="B79" s="118"/>
      <c r="C79" s="115" t="s">
        <v>332</v>
      </c>
      <c r="D79" s="474">
        <f>SUM(D72:E78)</f>
        <v>0</v>
      </c>
      <c r="E79" s="474"/>
      <c r="F79" s="475">
        <f ca="1">SUM(F63:F69)+F76+F77+F78</f>
        <v>447322034.78641814</v>
      </c>
      <c r="G79" s="475"/>
      <c r="I79" s="468" t="s">
        <v>37</v>
      </c>
      <c r="J79" s="469"/>
      <c r="K79" s="469"/>
      <c r="L79" s="464">
        <f ca="1">L65+L70+L75</f>
        <v>447322034.78641814</v>
      </c>
      <c r="M79" s="464"/>
      <c r="N79" s="467">
        <f ca="1">N65+N70+N75</f>
        <v>0.99823375040879114</v>
      </c>
      <c r="O79" s="467"/>
    </row>
    <row r="80" spans="2:15" ht="14" customHeight="1">
      <c r="F80" s="363"/>
      <c r="G80" s="350">
        <f ca="1">F79</f>
        <v>447322034.78641814</v>
      </c>
    </row>
    <row r="81" spans="6:13" ht="14" customHeight="1">
      <c r="F81" s="363"/>
      <c r="M81" s="350">
        <f ca="1">L65</f>
        <v>150966074.00265947</v>
      </c>
    </row>
    <row r="82" spans="6:13" ht="14" customHeight="1">
      <c r="M82" s="350">
        <f ca="1">L75</f>
        <v>6698423.7066163188</v>
      </c>
    </row>
    <row r="83" spans="6:13" ht="14" customHeight="1">
      <c r="M83" s="350">
        <f ca="1">L70</f>
        <v>289657537.07714236</v>
      </c>
    </row>
  </sheetData>
  <mergeCells count="75">
    <mergeCell ref="L79:M79"/>
    <mergeCell ref="I79:K79"/>
    <mergeCell ref="N79:O79"/>
    <mergeCell ref="D77:E77"/>
    <mergeCell ref="F77:G77"/>
    <mergeCell ref="D78:E78"/>
    <mergeCell ref="F78:G78"/>
    <mergeCell ref="D79:E79"/>
    <mergeCell ref="F79:G79"/>
    <mergeCell ref="L68:M68"/>
    <mergeCell ref="L69:M69"/>
    <mergeCell ref="L70:M70"/>
    <mergeCell ref="D76:E76"/>
    <mergeCell ref="L73:M73"/>
    <mergeCell ref="L75:M75"/>
    <mergeCell ref="F76:G76"/>
    <mergeCell ref="F74:G74"/>
    <mergeCell ref="F75:G75"/>
    <mergeCell ref="L74:M74"/>
    <mergeCell ref="N74:O74"/>
    <mergeCell ref="F72:G72"/>
    <mergeCell ref="F73:G73"/>
    <mergeCell ref="N75:O75"/>
    <mergeCell ref="N64:O64"/>
    <mergeCell ref="N65:O65"/>
    <mergeCell ref="N68:O68"/>
    <mergeCell ref="N69:O69"/>
    <mergeCell ref="N70:O70"/>
    <mergeCell ref="B59:C59"/>
    <mergeCell ref="B61:G61"/>
    <mergeCell ref="F68:G68"/>
    <mergeCell ref="F69:G69"/>
    <mergeCell ref="F63:G63"/>
    <mergeCell ref="F64:G64"/>
    <mergeCell ref="F65:G65"/>
    <mergeCell ref="F66:G66"/>
    <mergeCell ref="F67:G67"/>
    <mergeCell ref="B62:C62"/>
    <mergeCell ref="D72:E72"/>
    <mergeCell ref="D73:E73"/>
    <mergeCell ref="D74:E74"/>
    <mergeCell ref="D75:E75"/>
    <mergeCell ref="I61:O61"/>
    <mergeCell ref="D62:E62"/>
    <mergeCell ref="F62:G62"/>
    <mergeCell ref="I62:K62"/>
    <mergeCell ref="L62:M62"/>
    <mergeCell ref="N62:O62"/>
    <mergeCell ref="D71:E71"/>
    <mergeCell ref="F71:G71"/>
    <mergeCell ref="L63:M63"/>
    <mergeCell ref="L64:M64"/>
    <mergeCell ref="L65:M65"/>
    <mergeCell ref="N63:O63"/>
    <mergeCell ref="B58:C58"/>
    <mergeCell ref="B54:C54"/>
    <mergeCell ref="B56:C56"/>
    <mergeCell ref="B57:C57"/>
    <mergeCell ref="B49:C49"/>
    <mergeCell ref="B42:O42"/>
    <mergeCell ref="B50:C50"/>
    <mergeCell ref="B33:C33"/>
    <mergeCell ref="B27:C27"/>
    <mergeCell ref="B30:C30"/>
    <mergeCell ref="B48:C48"/>
    <mergeCell ref="B21:C21"/>
    <mergeCell ref="B13:C13"/>
    <mergeCell ref="B25:C25"/>
    <mergeCell ref="B22:C22"/>
    <mergeCell ref="B23:C23"/>
    <mergeCell ref="B8:C8"/>
    <mergeCell ref="B10:C10"/>
    <mergeCell ref="B11:C11"/>
    <mergeCell ref="B12:C12"/>
    <mergeCell ref="B19:C19"/>
  </mergeCells>
  <pageMargins left="0.25" right="0.25" top="0.75" bottom="0.75" header="0.3" footer="0.3"/>
  <pageSetup paperSize="3" scale="87" orientation="landscape" r:id="rId1"/>
  <headerFooter alignWithMargins="0">
    <oddHeader>&amp;L&amp;"Arial,Bold"2021 ULI Hines Student Competition&amp;R2021-2414 Development Summary</oddHeader>
  </headerFooter>
  <ignoredErrors>
    <ignoredError sqref="G3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0E97E-59BF-4668-877A-2A8A2AC21FDD}">
  <sheetPr>
    <tabColor theme="3"/>
  </sheetPr>
  <dimension ref="A3:AK107"/>
  <sheetViews>
    <sheetView showGridLines="0" view="pageBreakPreview" topLeftCell="A75" zoomScale="85" zoomScaleNormal="100" zoomScaleSheetLayoutView="85" workbookViewId="0">
      <selection activeCell="A97" sqref="A1:A97"/>
    </sheetView>
  </sheetViews>
  <sheetFormatPr baseColWidth="10" defaultColWidth="8.83203125" defaultRowHeight="15"/>
  <cols>
    <col min="1" max="1" width="3.5" style="3" customWidth="1"/>
    <col min="2" max="2" width="1.6640625" style="3" customWidth="1"/>
    <col min="3" max="3" width="2.83203125" style="3" customWidth="1"/>
    <col min="4" max="4" width="1.6640625" style="3" customWidth="1"/>
    <col min="5" max="5" width="14.6640625" style="3" customWidth="1"/>
    <col min="6" max="6" width="8.83203125" style="3" customWidth="1"/>
    <col min="7" max="7" width="16.33203125" style="3" customWidth="1"/>
    <col min="8" max="8" width="12.5" style="3" bestFit="1" customWidth="1"/>
    <col min="9" max="9" width="11.5" style="3" bestFit="1" customWidth="1"/>
    <col min="10" max="10" width="13.6640625" style="3" bestFit="1" customWidth="1"/>
    <col min="11" max="12" width="12.5" style="3" bestFit="1" customWidth="1"/>
    <col min="13" max="14" width="11.83203125" style="3" bestFit="1" customWidth="1"/>
    <col min="15" max="15" width="12.1640625" style="3" bestFit="1" customWidth="1"/>
    <col min="16" max="16" width="13" style="4" customWidth="1"/>
    <col min="17" max="17" width="12.5" style="3" bestFit="1" customWidth="1"/>
    <col min="18" max="18" width="13.1640625" style="3" bestFit="1" customWidth="1"/>
    <col min="19" max="21" width="8.83203125" style="3"/>
    <col min="22" max="22" width="14.1640625" style="3" bestFit="1" customWidth="1"/>
    <col min="23" max="16384" width="8.83203125" style="3"/>
  </cols>
  <sheetData>
    <row r="3" spans="2:18">
      <c r="C3" s="45"/>
      <c r="D3" s="181" t="s">
        <v>41</v>
      </c>
      <c r="E3" s="181"/>
      <c r="F3" s="182" t="s">
        <v>425</v>
      </c>
      <c r="G3" s="182" t="s">
        <v>310</v>
      </c>
      <c r="P3" s="44"/>
    </row>
    <row r="4" spans="2:18">
      <c r="C4" s="44"/>
      <c r="D4" s="185" t="s">
        <v>186</v>
      </c>
      <c r="E4" s="185"/>
      <c r="F4" s="186"/>
      <c r="G4" s="186">
        <f ca="1">Assumptions!U9</f>
        <v>216815.7001716849</v>
      </c>
      <c r="P4" s="44"/>
    </row>
    <row r="5" spans="2:18">
      <c r="C5" s="44"/>
      <c r="D5" s="185" t="s">
        <v>422</v>
      </c>
      <c r="E5" s="185"/>
      <c r="F5" s="186">
        <f>Assumptions!E61</f>
        <v>179.73679896000004</v>
      </c>
      <c r="G5" s="186">
        <f ca="1">F5*$G$17</f>
        <v>14726734.622787604</v>
      </c>
      <c r="P5" s="44"/>
    </row>
    <row r="6" spans="2:18">
      <c r="C6" s="44"/>
      <c r="D6" s="185" t="s">
        <v>423</v>
      </c>
      <c r="E6" s="185"/>
      <c r="F6" s="186">
        <f>Assumptions!G61</f>
        <v>26.960519844000007</v>
      </c>
      <c r="G6" s="186">
        <f ca="1">F6*$G$17</f>
        <v>2209010.1934181405</v>
      </c>
      <c r="P6" s="44"/>
    </row>
    <row r="7" spans="2:18">
      <c r="C7" s="44"/>
      <c r="D7" s="185" t="s">
        <v>187</v>
      </c>
      <c r="E7" s="185"/>
      <c r="F7" s="186"/>
      <c r="G7" s="186">
        <f ca="1">Assumptions!V9</f>
        <v>526783.54064353893</v>
      </c>
      <c r="P7" s="44"/>
    </row>
    <row r="8" spans="2:18">
      <c r="C8" s="44"/>
      <c r="D8" s="185" t="s">
        <v>424</v>
      </c>
      <c r="E8" s="185"/>
      <c r="F8" s="186">
        <f>Assumptions!E71</f>
        <v>12000</v>
      </c>
      <c r="G8" s="186">
        <f ca="1">F8*Assumptions!T9</f>
        <v>994684.44444444438</v>
      </c>
      <c r="P8" s="44"/>
    </row>
    <row r="9" spans="2:18">
      <c r="C9" s="44"/>
      <c r="D9" s="185" t="s">
        <v>121</v>
      </c>
      <c r="E9" s="185"/>
      <c r="F9" s="188"/>
      <c r="G9" s="186">
        <f ca="1">-G64</f>
        <v>1229025</v>
      </c>
    </row>
    <row r="10" spans="2:18">
      <c r="C10" s="44"/>
      <c r="D10" s="185" t="s">
        <v>123</v>
      </c>
      <c r="E10" s="185"/>
      <c r="F10" s="187"/>
      <c r="G10" s="186">
        <f ca="1">-G63</f>
        <v>1096210.1873327219</v>
      </c>
    </row>
    <row r="11" spans="2:18">
      <c r="C11" s="44"/>
      <c r="D11" s="185"/>
      <c r="E11" s="185"/>
      <c r="F11" s="187"/>
      <c r="G11" s="186"/>
    </row>
    <row r="12" spans="2:18">
      <c r="C12" s="44"/>
      <c r="D12" s="304" t="s">
        <v>426</v>
      </c>
      <c r="E12" s="304"/>
      <c r="F12" s="305">
        <f ca="1">G12/G17</f>
        <v>256.2917396570225</v>
      </c>
      <c r="G12" s="305">
        <f ca="1">G4+G5+G6+G7+G8+G9+G10</f>
        <v>20999263.688798137</v>
      </c>
    </row>
    <row r="13" spans="2:18">
      <c r="B13" s="1"/>
    </row>
    <row r="14" spans="2:18" ht="16">
      <c r="B14" s="2" t="s">
        <v>147</v>
      </c>
    </row>
    <row r="16" spans="2:18">
      <c r="B16" s="5" t="s">
        <v>2</v>
      </c>
      <c r="C16" s="5"/>
      <c r="D16" s="5"/>
      <c r="E16" s="5"/>
      <c r="F16" s="5"/>
      <c r="G16" s="5"/>
      <c r="H16" s="5"/>
      <c r="I16" s="6"/>
      <c r="J16" s="5" t="s">
        <v>103</v>
      </c>
      <c r="K16" s="5"/>
      <c r="L16" s="5"/>
      <c r="M16" s="5"/>
      <c r="N16" s="7" t="s">
        <v>104</v>
      </c>
      <c r="P16" s="5" t="s">
        <v>41</v>
      </c>
      <c r="Q16" s="5"/>
      <c r="R16" s="5"/>
    </row>
    <row r="17" spans="2:19">
      <c r="B17" s="3" t="s">
        <v>14</v>
      </c>
      <c r="G17" s="396">
        <f ca="1">Assumptions!P9</f>
        <v>81935</v>
      </c>
      <c r="J17" s="3" t="s">
        <v>47</v>
      </c>
      <c r="M17" s="8">
        <f ca="1">G17*G23</f>
        <v>3441270</v>
      </c>
      <c r="N17" s="9">
        <f ca="1">M17/G17</f>
        <v>42</v>
      </c>
      <c r="P17" s="3" t="s">
        <v>105</v>
      </c>
      <c r="R17" s="398">
        <f ca="1">G12</f>
        <v>20999263.688798137</v>
      </c>
    </row>
    <row r="18" spans="2:19">
      <c r="B18" s="3" t="s">
        <v>148</v>
      </c>
      <c r="G18" s="43">
        <v>5000</v>
      </c>
      <c r="J18" s="3" t="s">
        <v>60</v>
      </c>
      <c r="M18" s="8">
        <f ca="1">-M17*G26</f>
        <v>-344127</v>
      </c>
      <c r="N18" s="4"/>
      <c r="P18" s="10" t="s">
        <v>44</v>
      </c>
      <c r="Q18" s="21">
        <v>0.01</v>
      </c>
      <c r="R18" s="8">
        <f ca="1">Q18*R17</f>
        <v>209992.63688798138</v>
      </c>
    </row>
    <row r="19" spans="2:19">
      <c r="B19" s="3" t="s">
        <v>149</v>
      </c>
      <c r="G19" s="42">
        <f ca="1">G17/G18</f>
        <v>16.387</v>
      </c>
      <c r="J19" s="12" t="s">
        <v>61</v>
      </c>
      <c r="K19" s="12"/>
      <c r="L19" s="12"/>
      <c r="M19" s="13">
        <f ca="1">M17+M18</f>
        <v>3097143</v>
      </c>
      <c r="N19" s="14"/>
      <c r="P19" s="15" t="s">
        <v>45</v>
      </c>
      <c r="Q19" s="12"/>
      <c r="R19" s="13">
        <f ca="1">SUM(R17:R18)</f>
        <v>21209256.325686119</v>
      </c>
    </row>
    <row r="20" spans="2:19">
      <c r="N20" s="4"/>
      <c r="S20" s="11"/>
    </row>
    <row r="21" spans="2:19">
      <c r="B21" s="5" t="s">
        <v>106</v>
      </c>
      <c r="C21" s="5"/>
      <c r="D21" s="5"/>
      <c r="E21" s="5"/>
      <c r="F21" s="5"/>
      <c r="G21" s="5"/>
      <c r="H21" s="5"/>
      <c r="I21" s="6"/>
      <c r="J21" s="18" t="s">
        <v>111</v>
      </c>
      <c r="N21" s="4"/>
      <c r="P21" s="5" t="s">
        <v>32</v>
      </c>
      <c r="Q21" s="5"/>
      <c r="R21" s="5"/>
      <c r="S21" s="16"/>
    </row>
    <row r="22" spans="2:19">
      <c r="B22" s="3" t="s">
        <v>107</v>
      </c>
      <c r="G22" s="17">
        <v>15</v>
      </c>
      <c r="H22" s="3" t="s">
        <v>108</v>
      </c>
      <c r="J22" s="3" t="s">
        <v>114</v>
      </c>
      <c r="M22" s="8">
        <f ca="1">N22*$G$17</f>
        <v>122902.5</v>
      </c>
      <c r="N22" s="20">
        <v>1.5</v>
      </c>
      <c r="P22" s="10" t="s">
        <v>7</v>
      </c>
      <c r="R22" s="8">
        <f ca="1">G39</f>
        <v>13786016.611695979</v>
      </c>
    </row>
    <row r="23" spans="2:19">
      <c r="B23" s="3" t="s">
        <v>109</v>
      </c>
      <c r="G23" s="17">
        <f>ROUNDUP(Assumptions!Q71,0)</f>
        <v>42</v>
      </c>
      <c r="H23" s="3" t="s">
        <v>110</v>
      </c>
      <c r="J23" s="3" t="s">
        <v>116</v>
      </c>
      <c r="M23" s="8">
        <f ca="1">N23*$G$17</f>
        <v>122902.5</v>
      </c>
      <c r="N23" s="20">
        <v>1.5</v>
      </c>
      <c r="P23" s="10" t="s">
        <v>34</v>
      </c>
      <c r="R23" s="8">
        <f ca="1">R24-R22</f>
        <v>7423239.7139901407</v>
      </c>
    </row>
    <row r="24" spans="2:19">
      <c r="B24" s="3" t="s">
        <v>112</v>
      </c>
      <c r="G24" s="19">
        <v>0.03</v>
      </c>
      <c r="H24" s="3" t="s">
        <v>113</v>
      </c>
      <c r="J24" s="3" t="s">
        <v>119</v>
      </c>
      <c r="M24" s="8">
        <f ca="1">N24*$G$17</f>
        <v>163870</v>
      </c>
      <c r="N24" s="20">
        <v>2</v>
      </c>
      <c r="P24" s="15" t="s">
        <v>120</v>
      </c>
      <c r="Q24" s="12"/>
      <c r="R24" s="13">
        <f ca="1">R19</f>
        <v>21209256.325686119</v>
      </c>
    </row>
    <row r="25" spans="2:19">
      <c r="B25" s="3" t="s">
        <v>115</v>
      </c>
      <c r="G25" s="19">
        <v>0.02</v>
      </c>
      <c r="J25" s="3" t="s">
        <v>31</v>
      </c>
      <c r="L25" s="274">
        <v>0.32</v>
      </c>
      <c r="M25" s="8">
        <f ca="1">G12*L25*N25</f>
        <v>117790.74982430162</v>
      </c>
      <c r="N25" s="397">
        <f>1.7529/100</f>
        <v>1.7528999999999999E-2</v>
      </c>
    </row>
    <row r="26" spans="2:19">
      <c r="B26" s="3" t="s">
        <v>117</v>
      </c>
      <c r="G26" s="19">
        <v>0.1</v>
      </c>
      <c r="H26" s="3" t="s">
        <v>118</v>
      </c>
      <c r="J26" s="3" t="s">
        <v>150</v>
      </c>
      <c r="M26" s="8">
        <f ca="1">N26*$M$17</f>
        <v>103238.09999999999</v>
      </c>
      <c r="N26" s="21">
        <v>0.03</v>
      </c>
      <c r="P26" s="3" t="s">
        <v>124</v>
      </c>
      <c r="R26" s="220">
        <v>7.4999999999999997E-2</v>
      </c>
    </row>
    <row r="27" spans="2:19">
      <c r="B27" s="3" t="s">
        <v>121</v>
      </c>
      <c r="G27" s="17">
        <v>15</v>
      </c>
      <c r="H27" s="3" t="s">
        <v>122</v>
      </c>
      <c r="J27" s="12" t="s">
        <v>126</v>
      </c>
      <c r="K27" s="12"/>
      <c r="L27" s="12"/>
      <c r="M27" s="13">
        <f ca="1">SUM(M22:M26)</f>
        <v>630703.84982430155</v>
      </c>
      <c r="N27" s="23">
        <v>4</v>
      </c>
      <c r="P27" s="3"/>
    </row>
    <row r="28" spans="2:19">
      <c r="B28" s="3" t="s">
        <v>123</v>
      </c>
      <c r="G28" s="19">
        <v>0.06</v>
      </c>
      <c r="N28" s="4"/>
      <c r="P28" s="3"/>
    </row>
    <row r="29" spans="2:19">
      <c r="B29" s="3" t="s">
        <v>125</v>
      </c>
      <c r="G29" s="22">
        <v>6.25E-2</v>
      </c>
      <c r="J29" s="3" t="s">
        <v>130</v>
      </c>
      <c r="M29" s="8">
        <f ca="1">M19-M27</f>
        <v>2466439.1501756986</v>
      </c>
      <c r="N29" s="4"/>
    </row>
    <row r="30" spans="2:19">
      <c r="B30" s="3" t="s">
        <v>127</v>
      </c>
      <c r="G30" s="22">
        <v>0.06</v>
      </c>
    </row>
    <row r="31" spans="2:19">
      <c r="B31" s="3" t="s">
        <v>128</v>
      </c>
      <c r="G31" s="24">
        <v>0</v>
      </c>
      <c r="H31" s="3" t="s">
        <v>129</v>
      </c>
      <c r="N31" s="4"/>
    </row>
    <row r="32" spans="2:19">
      <c r="B32" s="3" t="s">
        <v>131</v>
      </c>
      <c r="G32" s="25">
        <v>9</v>
      </c>
      <c r="H32" s="3" t="s">
        <v>108</v>
      </c>
      <c r="M32" s="8"/>
      <c r="N32" s="4"/>
    </row>
    <row r="33" spans="2:37">
      <c r="B33" s="3" t="s">
        <v>66</v>
      </c>
      <c r="G33" s="19">
        <v>0</v>
      </c>
      <c r="J33" s="26"/>
      <c r="M33" s="8"/>
      <c r="N33" s="4"/>
    </row>
    <row r="34" spans="2:37">
      <c r="J34" s="26"/>
      <c r="N34" s="4"/>
    </row>
    <row r="35" spans="2:37">
      <c r="B35" s="5" t="s">
        <v>132</v>
      </c>
      <c r="C35" s="5"/>
      <c r="D35" s="5"/>
      <c r="E35" s="5"/>
      <c r="F35" s="5"/>
      <c r="G35" s="5"/>
      <c r="H35" s="5"/>
      <c r="I35" s="6"/>
      <c r="N35" s="4"/>
    </row>
    <row r="36" spans="2:37">
      <c r="B36" s="3" t="s">
        <v>133</v>
      </c>
      <c r="G36" s="19">
        <v>0.65</v>
      </c>
      <c r="H36" s="3" t="s">
        <v>134</v>
      </c>
      <c r="J36" s="16"/>
      <c r="N36" s="4"/>
    </row>
    <row r="37" spans="2:37">
      <c r="B37" s="3" t="s">
        <v>10</v>
      </c>
      <c r="G37" s="19">
        <v>0.05</v>
      </c>
      <c r="J37" s="16"/>
    </row>
    <row r="38" spans="2:37">
      <c r="B38" s="3" t="s">
        <v>81</v>
      </c>
      <c r="G38" s="50">
        <v>30</v>
      </c>
      <c r="H38" s="3" t="s">
        <v>135</v>
      </c>
    </row>
    <row r="39" spans="2:37">
      <c r="B39" s="3" t="s">
        <v>136</v>
      </c>
      <c r="G39" s="8">
        <f ca="1">G36*R19</f>
        <v>13786016.611695979</v>
      </c>
    </row>
    <row r="40" spans="2:37">
      <c r="B40" s="3" t="s">
        <v>137</v>
      </c>
      <c r="G40" s="8">
        <f ca="1">PMT(G37/12,G38*12,G39)</f>
        <v>-74006.318123629462</v>
      </c>
    </row>
    <row r="42" spans="2:37">
      <c r="B42" s="5" t="s">
        <v>51</v>
      </c>
      <c r="C42" s="5"/>
      <c r="D42" s="5"/>
      <c r="E42" s="5"/>
      <c r="F42" s="5"/>
      <c r="G42" s="27">
        <v>0</v>
      </c>
      <c r="H42" s="27">
        <f>G42+1</f>
        <v>1</v>
      </c>
      <c r="I42" s="27">
        <f t="shared" ref="I42:R42" si="0">H42+1</f>
        <v>2</v>
      </c>
      <c r="J42" s="27">
        <f t="shared" si="0"/>
        <v>3</v>
      </c>
      <c r="K42" s="27">
        <f t="shared" si="0"/>
        <v>4</v>
      </c>
      <c r="L42" s="27">
        <f t="shared" si="0"/>
        <v>5</v>
      </c>
      <c r="M42" s="27">
        <f t="shared" si="0"/>
        <v>6</v>
      </c>
      <c r="N42" s="27">
        <f t="shared" si="0"/>
        <v>7</v>
      </c>
      <c r="O42" s="27">
        <f t="shared" si="0"/>
        <v>8</v>
      </c>
      <c r="P42" s="27">
        <f t="shared" si="0"/>
        <v>9</v>
      </c>
      <c r="Q42" s="27">
        <f t="shared" si="0"/>
        <v>10</v>
      </c>
      <c r="R42" s="27">
        <f t="shared" si="0"/>
        <v>11</v>
      </c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</row>
    <row r="43" spans="2:37">
      <c r="B43" s="3" t="s">
        <v>52</v>
      </c>
      <c r="H43" s="28">
        <f t="shared" ref="H43:R43" si="1">1-$G$26</f>
        <v>0.9</v>
      </c>
      <c r="I43" s="28">
        <f t="shared" si="1"/>
        <v>0.9</v>
      </c>
      <c r="J43" s="28">
        <f t="shared" si="1"/>
        <v>0.9</v>
      </c>
      <c r="K43" s="28">
        <f t="shared" si="1"/>
        <v>0.9</v>
      </c>
      <c r="L43" s="28">
        <f t="shared" si="1"/>
        <v>0.9</v>
      </c>
      <c r="M43" s="28">
        <f t="shared" si="1"/>
        <v>0.9</v>
      </c>
      <c r="N43" s="28">
        <f t="shared" si="1"/>
        <v>0.9</v>
      </c>
      <c r="O43" s="28">
        <f t="shared" si="1"/>
        <v>0.9</v>
      </c>
      <c r="P43" s="28">
        <f t="shared" si="1"/>
        <v>0.9</v>
      </c>
      <c r="Q43" s="28">
        <f t="shared" si="1"/>
        <v>0.9</v>
      </c>
      <c r="R43" s="28">
        <f t="shared" si="1"/>
        <v>0.9</v>
      </c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</row>
    <row r="45" spans="2:37">
      <c r="B45" s="3" t="s">
        <v>138</v>
      </c>
      <c r="G45" s="8">
        <f ca="1">-R19+G9+G10</f>
        <v>-18884021.138353396</v>
      </c>
    </row>
    <row r="46" spans="2:37">
      <c r="I46" s="29"/>
    </row>
    <row r="47" spans="2:37">
      <c r="B47" s="3" t="s">
        <v>47</v>
      </c>
      <c r="H47" s="8">
        <f t="shared" ref="H47:R47" ca="1" si="2">$M$17*(1+$G$24)^G42</f>
        <v>3441270</v>
      </c>
      <c r="I47" s="8">
        <f t="shared" ca="1" si="2"/>
        <v>3544508.1</v>
      </c>
      <c r="J47" s="8">
        <f t="shared" ca="1" si="2"/>
        <v>3650843.3429999999</v>
      </c>
      <c r="K47" s="8">
        <f t="shared" ca="1" si="2"/>
        <v>3760368.64329</v>
      </c>
      <c r="L47" s="8">
        <f t="shared" ca="1" si="2"/>
        <v>3873179.7025886998</v>
      </c>
      <c r="M47" s="8">
        <f t="shared" ca="1" si="2"/>
        <v>3989375.0936663602</v>
      </c>
      <c r="N47" s="8">
        <f t="shared" ca="1" si="2"/>
        <v>4109056.3464763514</v>
      </c>
      <c r="O47" s="8">
        <f t="shared" ca="1" si="2"/>
        <v>4232328.0368706426</v>
      </c>
      <c r="P47" s="8">
        <f t="shared" ca="1" si="2"/>
        <v>4359297.8779767612</v>
      </c>
      <c r="Q47" s="8">
        <f t="shared" ca="1" si="2"/>
        <v>4490076.8143160641</v>
      </c>
      <c r="R47" s="8">
        <f t="shared" ca="1" si="2"/>
        <v>4624779.1187455459</v>
      </c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2:37">
      <c r="C48" s="3" t="s">
        <v>60</v>
      </c>
      <c r="H48" s="8">
        <f ca="1">-(1-H43)*H47</f>
        <v>-344126.99999999994</v>
      </c>
      <c r="I48" s="8">
        <f t="shared" ref="I48:R48" ca="1" si="3">-(1-I43)*I47</f>
        <v>-354450.80999999994</v>
      </c>
      <c r="J48" s="8">
        <f t="shared" ca="1" si="3"/>
        <v>-365084.33429999993</v>
      </c>
      <c r="K48" s="8">
        <f t="shared" ca="1" si="3"/>
        <v>-376036.86432899995</v>
      </c>
      <c r="L48" s="8">
        <f t="shared" ca="1" si="3"/>
        <v>-387317.97025886987</v>
      </c>
      <c r="M48" s="8">
        <f t="shared" ca="1" si="3"/>
        <v>-398937.50936663593</v>
      </c>
      <c r="N48" s="8">
        <f t="shared" ca="1" si="3"/>
        <v>-410905.63464763504</v>
      </c>
      <c r="O48" s="8">
        <f t="shared" ca="1" si="3"/>
        <v>-423232.80368706415</v>
      </c>
      <c r="P48" s="8">
        <f t="shared" ca="1" si="3"/>
        <v>-435929.78779767605</v>
      </c>
      <c r="Q48" s="8">
        <f t="shared" ca="1" si="3"/>
        <v>-449007.6814316063</v>
      </c>
      <c r="R48" s="8">
        <f t="shared" ca="1" si="3"/>
        <v>-462477.91187455447</v>
      </c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2:37">
      <c r="C49" s="3" t="s">
        <v>128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2:37">
      <c r="B50" s="12" t="s">
        <v>61</v>
      </c>
      <c r="C50" s="12"/>
      <c r="D50" s="12"/>
      <c r="E50" s="12"/>
      <c r="F50" s="12"/>
      <c r="G50" s="12"/>
      <c r="H50" s="13">
        <f ca="1">SUM(H47:H49)</f>
        <v>3097143</v>
      </c>
      <c r="I50" s="13">
        <f t="shared" ref="I50:R50" ca="1" si="4">SUM(I47:I49)</f>
        <v>3190057.29</v>
      </c>
      <c r="J50" s="13">
        <f t="shared" ca="1" si="4"/>
        <v>3285759.0087000001</v>
      </c>
      <c r="K50" s="13">
        <f t="shared" ca="1" si="4"/>
        <v>3384331.778961</v>
      </c>
      <c r="L50" s="13">
        <f t="shared" ca="1" si="4"/>
        <v>3485861.7323298301</v>
      </c>
      <c r="M50" s="13">
        <f t="shared" ca="1" si="4"/>
        <v>3590437.5842997245</v>
      </c>
      <c r="N50" s="13">
        <f t="shared" ca="1" si="4"/>
        <v>3698150.7118287161</v>
      </c>
      <c r="O50" s="13">
        <f t="shared" ca="1" si="4"/>
        <v>3809095.2331835786</v>
      </c>
      <c r="P50" s="13">
        <f t="shared" ca="1" si="4"/>
        <v>3923368.0901790853</v>
      </c>
      <c r="Q50" s="13">
        <f t="shared" ca="1" si="4"/>
        <v>4041069.1328844577</v>
      </c>
      <c r="R50" s="13">
        <f t="shared" ca="1" si="4"/>
        <v>4162301.2068709913</v>
      </c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</row>
    <row r="52" spans="2:37">
      <c r="B52" s="3" t="s">
        <v>62</v>
      </c>
    </row>
    <row r="53" spans="2:37">
      <c r="C53" s="3" t="str">
        <f>J22</f>
        <v>Repairs and Maintenance</v>
      </c>
      <c r="H53" s="8">
        <f t="shared" ref="H53:R56" ca="1" si="5">$M22*(1+$G$25)^G$42</f>
        <v>122902.5</v>
      </c>
      <c r="I53" s="8">
        <f t="shared" ca="1" si="5"/>
        <v>125360.55</v>
      </c>
      <c r="J53" s="8">
        <f t="shared" ca="1" si="5"/>
        <v>127867.761</v>
      </c>
      <c r="K53" s="8">
        <f t="shared" ca="1" si="5"/>
        <v>130425.11622</v>
      </c>
      <c r="L53" s="8">
        <f t="shared" ca="1" si="5"/>
        <v>133033.6185444</v>
      </c>
      <c r="M53" s="8">
        <f t="shared" ca="1" si="5"/>
        <v>135694.290915288</v>
      </c>
      <c r="N53" s="8">
        <f t="shared" ca="1" si="5"/>
        <v>138408.17673359378</v>
      </c>
      <c r="O53" s="8">
        <f t="shared" ca="1" si="5"/>
        <v>141176.3402682656</v>
      </c>
      <c r="P53" s="8">
        <f t="shared" ca="1" si="5"/>
        <v>143999.86707363094</v>
      </c>
      <c r="Q53" s="8">
        <f t="shared" ca="1" si="5"/>
        <v>146879.86441510357</v>
      </c>
      <c r="R53" s="8">
        <f t="shared" ca="1" si="5"/>
        <v>149817.46170340563</v>
      </c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2:37">
      <c r="C54" s="3" t="str">
        <f>J23</f>
        <v>Administrative</v>
      </c>
      <c r="H54" s="8">
        <f t="shared" ca="1" si="5"/>
        <v>122902.5</v>
      </c>
      <c r="I54" s="8">
        <f t="shared" ca="1" si="5"/>
        <v>125360.55</v>
      </c>
      <c r="J54" s="8">
        <f t="shared" ca="1" si="5"/>
        <v>127867.761</v>
      </c>
      <c r="K54" s="8">
        <f t="shared" ca="1" si="5"/>
        <v>130425.11622</v>
      </c>
      <c r="L54" s="8">
        <f t="shared" ca="1" si="5"/>
        <v>133033.6185444</v>
      </c>
      <c r="M54" s="8">
        <f t="shared" ca="1" si="5"/>
        <v>135694.290915288</v>
      </c>
      <c r="N54" s="8">
        <f t="shared" ca="1" si="5"/>
        <v>138408.17673359378</v>
      </c>
      <c r="O54" s="8">
        <f t="shared" ca="1" si="5"/>
        <v>141176.3402682656</v>
      </c>
      <c r="P54" s="8">
        <f t="shared" ca="1" si="5"/>
        <v>143999.86707363094</v>
      </c>
      <c r="Q54" s="8">
        <f t="shared" ca="1" si="5"/>
        <v>146879.86441510357</v>
      </c>
      <c r="R54" s="8">
        <f t="shared" ca="1" si="5"/>
        <v>149817.46170340563</v>
      </c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2:37">
      <c r="C55" s="3" t="str">
        <f>J24</f>
        <v>Utilities</v>
      </c>
      <c r="H55" s="8">
        <f t="shared" ca="1" si="5"/>
        <v>163870</v>
      </c>
      <c r="I55" s="8">
        <f t="shared" ca="1" si="5"/>
        <v>167147.4</v>
      </c>
      <c r="J55" s="8">
        <f t="shared" ca="1" si="5"/>
        <v>170490.348</v>
      </c>
      <c r="K55" s="8">
        <f t="shared" ca="1" si="5"/>
        <v>173900.15495999999</v>
      </c>
      <c r="L55" s="8">
        <f t="shared" ca="1" si="5"/>
        <v>177378.15805920001</v>
      </c>
      <c r="M55" s="8">
        <f t="shared" ca="1" si="5"/>
        <v>180925.721220384</v>
      </c>
      <c r="N55" s="8">
        <f t="shared" ca="1" si="5"/>
        <v>184544.23564479168</v>
      </c>
      <c r="O55" s="8">
        <f t="shared" ca="1" si="5"/>
        <v>188235.1203576875</v>
      </c>
      <c r="P55" s="8">
        <f t="shared" ca="1" si="5"/>
        <v>191999.82276484126</v>
      </c>
      <c r="Q55" s="8">
        <f t="shared" ca="1" si="5"/>
        <v>195839.81922013807</v>
      </c>
      <c r="R55" s="8">
        <f t="shared" ca="1" si="5"/>
        <v>199756.61560454086</v>
      </c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2:37">
      <c r="C56" s="3" t="str">
        <f>J25</f>
        <v>Real Estate Taxes</v>
      </c>
      <c r="H56" s="8">
        <f t="shared" ca="1" si="5"/>
        <v>117790.74982430162</v>
      </c>
      <c r="I56" s="8">
        <f t="shared" ca="1" si="5"/>
        <v>120146.56482078765</v>
      </c>
      <c r="J56" s="8">
        <f t="shared" ca="1" si="5"/>
        <v>122549.49611720339</v>
      </c>
      <c r="K56" s="8">
        <f t="shared" ca="1" si="5"/>
        <v>125000.48603954747</v>
      </c>
      <c r="L56" s="8">
        <f t="shared" ca="1" si="5"/>
        <v>127500.49576033841</v>
      </c>
      <c r="M56" s="8">
        <f t="shared" ca="1" si="5"/>
        <v>130050.5056755452</v>
      </c>
      <c r="N56" s="8">
        <f t="shared" ca="1" si="5"/>
        <v>132651.51578905611</v>
      </c>
      <c r="O56" s="8">
        <f t="shared" ca="1" si="5"/>
        <v>135304.54610483718</v>
      </c>
      <c r="P56" s="8">
        <f t="shared" ca="1" si="5"/>
        <v>138010.63702693395</v>
      </c>
      <c r="Q56" s="8">
        <f t="shared" ca="1" si="5"/>
        <v>140770.84976747262</v>
      </c>
      <c r="R56" s="8">
        <f t="shared" ca="1" si="5"/>
        <v>143586.26676282208</v>
      </c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2:37">
      <c r="C57" s="3" t="str">
        <f>J26</f>
        <v>Property Management Fee (% gross revenue)</v>
      </c>
      <c r="H57" s="8">
        <f t="shared" ref="H57:R57" ca="1" si="6">H47*$N$26</f>
        <v>103238.09999999999</v>
      </c>
      <c r="I57" s="8">
        <f t="shared" ca="1" si="6"/>
        <v>106335.243</v>
      </c>
      <c r="J57" s="8">
        <f t="shared" ca="1" si="6"/>
        <v>109525.30029</v>
      </c>
      <c r="K57" s="8">
        <f t="shared" ca="1" si="6"/>
        <v>112811.0592987</v>
      </c>
      <c r="L57" s="8">
        <f t="shared" ca="1" si="6"/>
        <v>116195.39107766098</v>
      </c>
      <c r="M57" s="8">
        <f t="shared" ca="1" si="6"/>
        <v>119681.25280999081</v>
      </c>
      <c r="N57" s="8">
        <f t="shared" ca="1" si="6"/>
        <v>123271.69039429053</v>
      </c>
      <c r="O57" s="8">
        <f t="shared" ca="1" si="6"/>
        <v>126969.84110611927</v>
      </c>
      <c r="P57" s="8">
        <f t="shared" ca="1" si="6"/>
        <v>130778.93633930283</v>
      </c>
      <c r="Q57" s="8">
        <f t="shared" ca="1" si="6"/>
        <v>134702.30442948191</v>
      </c>
      <c r="R57" s="8">
        <f t="shared" ca="1" si="6"/>
        <v>138743.37356236638</v>
      </c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2:37">
      <c r="B58" s="12" t="s">
        <v>126</v>
      </c>
      <c r="C58" s="12"/>
      <c r="D58" s="12"/>
      <c r="E58" s="12"/>
      <c r="F58" s="12"/>
      <c r="G58" s="12"/>
      <c r="H58" s="13">
        <f t="shared" ref="H58:R58" ca="1" si="7">SUM(H53:H57)</f>
        <v>630703.84982430155</v>
      </c>
      <c r="I58" s="13">
        <f t="shared" ca="1" si="7"/>
        <v>644350.30782078765</v>
      </c>
      <c r="J58" s="13">
        <f t="shared" ca="1" si="7"/>
        <v>658300.66640720342</v>
      </c>
      <c r="K58" s="13">
        <f t="shared" ca="1" si="7"/>
        <v>672561.93273824744</v>
      </c>
      <c r="L58" s="13">
        <f t="shared" ca="1" si="7"/>
        <v>687141.28198599932</v>
      </c>
      <c r="M58" s="13">
        <f t="shared" ca="1" si="7"/>
        <v>702046.06153649592</v>
      </c>
      <c r="N58" s="13">
        <f t="shared" ca="1" si="7"/>
        <v>717283.79529532581</v>
      </c>
      <c r="O58" s="13">
        <f t="shared" ca="1" si="7"/>
        <v>732862.18810517527</v>
      </c>
      <c r="P58" s="13">
        <f t="shared" ca="1" si="7"/>
        <v>748789.13027833996</v>
      </c>
      <c r="Q58" s="13">
        <f t="shared" ca="1" si="7"/>
        <v>765072.70224729972</v>
      </c>
      <c r="R58" s="13">
        <f t="shared" ca="1" si="7"/>
        <v>781721.17933654052</v>
      </c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</row>
    <row r="60" spans="2:37">
      <c r="B60" s="3" t="s">
        <v>64</v>
      </c>
      <c r="H60" s="8">
        <f t="shared" ref="H60:R60" ca="1" si="8">H50-H58</f>
        <v>2466439.1501756986</v>
      </c>
      <c r="I60" s="8">
        <f t="shared" ca="1" si="8"/>
        <v>2545706.9821792124</v>
      </c>
      <c r="J60" s="8">
        <f t="shared" ca="1" si="8"/>
        <v>2627458.3422927968</v>
      </c>
      <c r="K60" s="8">
        <f t="shared" ca="1" si="8"/>
        <v>2711769.8462227527</v>
      </c>
      <c r="L60" s="8">
        <f t="shared" ca="1" si="8"/>
        <v>2798720.4503438305</v>
      </c>
      <c r="M60" s="8">
        <f t="shared" ca="1" si="8"/>
        <v>2888391.5227632285</v>
      </c>
      <c r="N60" s="8">
        <f t="shared" ca="1" si="8"/>
        <v>2980866.9165333901</v>
      </c>
      <c r="O60" s="8">
        <f t="shared" ca="1" si="8"/>
        <v>3076233.0450784033</v>
      </c>
      <c r="P60" s="8">
        <f t="shared" ca="1" si="8"/>
        <v>3174578.9599007452</v>
      </c>
      <c r="Q60" s="8">
        <f t="shared" ca="1" si="8"/>
        <v>3275996.430637158</v>
      </c>
      <c r="R60" s="8">
        <f t="shared" ca="1" si="8"/>
        <v>3380580.0275344509</v>
      </c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2" spans="2:37">
      <c r="B62" s="3" t="s">
        <v>139</v>
      </c>
    </row>
    <row r="63" spans="2:37">
      <c r="C63" s="3" t="s">
        <v>140</v>
      </c>
      <c r="G63" s="8">
        <f ca="1">-IF($G$32=10,SUM(H95:R95)*G17,SUM(H95:L95)*$G$17)</f>
        <v>-1096210.1873327219</v>
      </c>
    </row>
    <row r="64" spans="2:37">
      <c r="C64" s="3" t="s">
        <v>141</v>
      </c>
      <c r="G64" s="8">
        <f ca="1">-G27*G17</f>
        <v>-1229025</v>
      </c>
    </row>
    <row r="66" spans="2:37">
      <c r="B66" s="3" t="s">
        <v>142</v>
      </c>
      <c r="G66" s="8">
        <f ca="1">IF(G42&lt;=$G$32+1,G45+G60+SUM(G63:G64),0)</f>
        <v>-21209256.325686119</v>
      </c>
      <c r="H66" s="8">
        <f ca="1">IF(H42&lt;=$G$32+1,H45+H60+SUM(H63:H64),0)</f>
        <v>2466439.1501756986</v>
      </c>
      <c r="I66" s="8">
        <f t="shared" ref="I66:R66" ca="1" si="9">IF(I42&lt;=$G$32+1,I45+I60+SUM(I63:I64),0)</f>
        <v>2545706.9821792124</v>
      </c>
      <c r="J66" s="8">
        <f t="shared" ca="1" si="9"/>
        <v>2627458.3422927968</v>
      </c>
      <c r="K66" s="8">
        <f t="shared" ca="1" si="9"/>
        <v>2711769.8462227527</v>
      </c>
      <c r="L66" s="8">
        <f t="shared" ca="1" si="9"/>
        <v>2798720.4503438305</v>
      </c>
      <c r="M66" s="8">
        <f t="shared" ca="1" si="9"/>
        <v>2888391.5227632285</v>
      </c>
      <c r="N66" s="8">
        <f t="shared" ca="1" si="9"/>
        <v>2980866.9165333901</v>
      </c>
      <c r="O66" s="8">
        <f t="shared" ca="1" si="9"/>
        <v>3076233.0450784033</v>
      </c>
      <c r="P66" s="8">
        <f t="shared" ca="1" si="9"/>
        <v>3174578.9599007452</v>
      </c>
      <c r="Q66" s="8">
        <f t="shared" ca="1" si="9"/>
        <v>3275996.430637158</v>
      </c>
      <c r="R66" s="8">
        <f t="shared" si="9"/>
        <v>0</v>
      </c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2:37"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2:37">
      <c r="B68" s="3" t="s">
        <v>65</v>
      </c>
      <c r="H68" s="8">
        <f t="shared" ref="H68:R68" si="10">IF(H42=$G$32,I66/$G$30,0)</f>
        <v>0</v>
      </c>
      <c r="I68" s="8">
        <f t="shared" si="10"/>
        <v>0</v>
      </c>
      <c r="J68" s="8">
        <f t="shared" si="10"/>
        <v>0</v>
      </c>
      <c r="K68" s="8">
        <f t="shared" si="10"/>
        <v>0</v>
      </c>
      <c r="L68" s="8">
        <f t="shared" si="10"/>
        <v>0</v>
      </c>
      <c r="M68" s="8">
        <f t="shared" si="10"/>
        <v>0</v>
      </c>
      <c r="N68" s="8">
        <f t="shared" si="10"/>
        <v>0</v>
      </c>
      <c r="O68" s="8">
        <f t="shared" si="10"/>
        <v>0</v>
      </c>
      <c r="P68" s="8">
        <f t="shared" ca="1" si="10"/>
        <v>54599940.510619305</v>
      </c>
      <c r="Q68" s="8">
        <f t="shared" si="10"/>
        <v>0</v>
      </c>
      <c r="R68" s="8">
        <f t="shared" si="10"/>
        <v>0</v>
      </c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2:37">
      <c r="B69" s="3" t="s">
        <v>66</v>
      </c>
      <c r="H69" s="8">
        <f>-H68*$G$33</f>
        <v>0</v>
      </c>
      <c r="I69" s="8">
        <f t="shared" ref="I69:R69" si="11">-I68*$G$33</f>
        <v>0</v>
      </c>
      <c r="J69" s="8">
        <f t="shared" si="11"/>
        <v>0</v>
      </c>
      <c r="K69" s="8">
        <f t="shared" si="11"/>
        <v>0</v>
      </c>
      <c r="L69" s="8">
        <f t="shared" si="11"/>
        <v>0</v>
      </c>
      <c r="M69" s="8">
        <f t="shared" si="11"/>
        <v>0</v>
      </c>
      <c r="N69" s="8">
        <f t="shared" si="11"/>
        <v>0</v>
      </c>
      <c r="O69" s="8">
        <f t="shared" si="11"/>
        <v>0</v>
      </c>
      <c r="P69" s="8">
        <f t="shared" ca="1" si="11"/>
        <v>0</v>
      </c>
      <c r="Q69" s="8">
        <f t="shared" si="11"/>
        <v>0</v>
      </c>
      <c r="R69" s="8">
        <f t="shared" si="11"/>
        <v>0</v>
      </c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2:37">
      <c r="B70" s="60" t="s">
        <v>67</v>
      </c>
      <c r="C70" s="60"/>
      <c r="D70" s="60"/>
      <c r="E70" s="60"/>
      <c r="F70" s="60"/>
      <c r="G70" s="61">
        <f ca="1">SUM(G66:G69)</f>
        <v>-21209256.325686119</v>
      </c>
      <c r="H70" s="61">
        <f t="shared" ref="H70:R70" ca="1" si="12">SUM(H66:H69)</f>
        <v>2466439.1501756986</v>
      </c>
      <c r="I70" s="61">
        <f t="shared" ca="1" si="12"/>
        <v>2545706.9821792124</v>
      </c>
      <c r="J70" s="61">
        <f t="shared" ca="1" si="12"/>
        <v>2627458.3422927968</v>
      </c>
      <c r="K70" s="61">
        <f t="shared" ca="1" si="12"/>
        <v>2711769.8462227527</v>
      </c>
      <c r="L70" s="61">
        <f t="shared" ca="1" si="12"/>
        <v>2798720.4503438305</v>
      </c>
      <c r="M70" s="61">
        <f t="shared" ca="1" si="12"/>
        <v>2888391.5227632285</v>
      </c>
      <c r="N70" s="61">
        <f t="shared" ca="1" si="12"/>
        <v>2980866.9165333901</v>
      </c>
      <c r="O70" s="61">
        <f t="shared" ca="1" si="12"/>
        <v>3076233.0450784033</v>
      </c>
      <c r="P70" s="61">
        <f t="shared" ca="1" si="12"/>
        <v>57774519.470520049</v>
      </c>
      <c r="Q70" s="61">
        <f t="shared" ca="1" si="12"/>
        <v>3275996.430637158</v>
      </c>
      <c r="R70" s="61">
        <f t="shared" si="12"/>
        <v>0</v>
      </c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</row>
    <row r="71" spans="2:37" ht="16" thickBot="1"/>
    <row r="72" spans="2:37">
      <c r="B72" s="30" t="s">
        <v>68</v>
      </c>
      <c r="C72" s="31"/>
      <c r="D72" s="31"/>
      <c r="E72" s="31"/>
      <c r="F72" s="31"/>
      <c r="G72" s="32">
        <f ca="1">SUM(G70:R70)</f>
        <v>61936845.831060402</v>
      </c>
    </row>
    <row r="73" spans="2:37">
      <c r="B73" s="33" t="s">
        <v>69</v>
      </c>
      <c r="G73" s="34">
        <f ca="1">NPV($R$26,H70:R70)</f>
        <v>47709170.751212612</v>
      </c>
    </row>
    <row r="74" spans="2:37">
      <c r="B74" s="33" t="s">
        <v>70</v>
      </c>
      <c r="G74" s="34">
        <f ca="1">G73+G70</f>
        <v>26499914.425526492</v>
      </c>
    </row>
    <row r="75" spans="2:37">
      <c r="B75" s="33" t="s">
        <v>71</v>
      </c>
      <c r="G75" s="35">
        <f ca="1">IRR(G70:R70)</f>
        <v>0.20688613728506411</v>
      </c>
    </row>
    <row r="76" spans="2:37" ht="16" thickBot="1">
      <c r="B76" s="36" t="s">
        <v>72</v>
      </c>
      <c r="C76" s="37"/>
      <c r="D76" s="37"/>
      <c r="E76" s="37"/>
      <c r="F76" s="37"/>
      <c r="G76" s="38">
        <f ca="1">(G72/-G70)+1</f>
        <v>3.9202742840186193</v>
      </c>
    </row>
    <row r="78" spans="2:37">
      <c r="B78" s="3" t="s">
        <v>73</v>
      </c>
      <c r="G78" s="8">
        <f ca="1">G39</f>
        <v>13786016.611695979</v>
      </c>
    </row>
    <row r="79" spans="2:37">
      <c r="B79" s="3" t="s">
        <v>74</v>
      </c>
      <c r="H79" s="8">
        <f t="shared" ref="H79:R79" si="13">IF(H42=$G$32,FV($G$37/12,H42*12,$G$40,$G$39),0)</f>
        <v>0</v>
      </c>
      <c r="I79" s="8">
        <f t="shared" si="13"/>
        <v>0</v>
      </c>
      <c r="J79" s="8">
        <f t="shared" si="13"/>
        <v>0</v>
      </c>
      <c r="K79" s="8">
        <f t="shared" si="13"/>
        <v>0</v>
      </c>
      <c r="L79" s="8">
        <f t="shared" si="13"/>
        <v>0</v>
      </c>
      <c r="M79" s="8">
        <f t="shared" si="13"/>
        <v>0</v>
      </c>
      <c r="N79" s="8">
        <f t="shared" si="13"/>
        <v>0</v>
      </c>
      <c r="O79" s="8">
        <f t="shared" si="13"/>
        <v>0</v>
      </c>
      <c r="P79" s="8">
        <f t="shared" ca="1" si="13"/>
        <v>-11532517.905468615</v>
      </c>
      <c r="Q79" s="8">
        <f t="shared" si="13"/>
        <v>0</v>
      </c>
      <c r="R79" s="8">
        <f t="shared" si="13"/>
        <v>0</v>
      </c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2:37">
      <c r="B80" s="3" t="s">
        <v>75</v>
      </c>
      <c r="H80" s="8">
        <f ca="1">IF(H42&lt;=$G$32,$G$40*12,0)</f>
        <v>-888075.81748355355</v>
      </c>
      <c r="I80" s="8">
        <f t="shared" ref="I80:R80" ca="1" si="14">IF(I42&lt;=$G$32,$G$40*12,0)</f>
        <v>-888075.81748355355</v>
      </c>
      <c r="J80" s="8">
        <f t="shared" ca="1" si="14"/>
        <v>-888075.81748355355</v>
      </c>
      <c r="K80" s="8">
        <f t="shared" ca="1" si="14"/>
        <v>-888075.81748355355</v>
      </c>
      <c r="L80" s="8">
        <f t="shared" ca="1" si="14"/>
        <v>-888075.81748355355</v>
      </c>
      <c r="M80" s="8">
        <f t="shared" ca="1" si="14"/>
        <v>-888075.81748355355</v>
      </c>
      <c r="N80" s="8">
        <f t="shared" ca="1" si="14"/>
        <v>-888075.81748355355</v>
      </c>
      <c r="O80" s="8">
        <f t="shared" ca="1" si="14"/>
        <v>-888075.81748355355</v>
      </c>
      <c r="P80" s="8">
        <f t="shared" ca="1" si="14"/>
        <v>-888075.81748355355</v>
      </c>
      <c r="Q80" s="8">
        <f t="shared" si="14"/>
        <v>0</v>
      </c>
      <c r="R80" s="8">
        <f t="shared" si="14"/>
        <v>0</v>
      </c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>
      <c r="B81" s="325" t="s">
        <v>438</v>
      </c>
      <c r="H81" s="219">
        <f t="shared" ref="H81:Q81" ca="1" si="15">SUM(H79:H80)</f>
        <v>-888075.81748355355</v>
      </c>
      <c r="I81" s="219">
        <f t="shared" ca="1" si="15"/>
        <v>-888075.81748355355</v>
      </c>
      <c r="J81" s="219">
        <f t="shared" ca="1" si="15"/>
        <v>-888075.81748355355</v>
      </c>
      <c r="K81" s="219">
        <f t="shared" ca="1" si="15"/>
        <v>-888075.81748355355</v>
      </c>
      <c r="L81" s="219">
        <f t="shared" ca="1" si="15"/>
        <v>-888075.81748355355</v>
      </c>
      <c r="M81" s="219">
        <f t="shared" ca="1" si="15"/>
        <v>-888075.81748355355</v>
      </c>
      <c r="N81" s="219">
        <f t="shared" ca="1" si="15"/>
        <v>-888075.81748355355</v>
      </c>
      <c r="O81" s="219">
        <f t="shared" ca="1" si="15"/>
        <v>-888075.81748355355</v>
      </c>
      <c r="P81" s="219">
        <f t="shared" ca="1" si="15"/>
        <v>-12420593.722952168</v>
      </c>
      <c r="Q81" s="219">
        <f t="shared" si="15"/>
        <v>0</v>
      </c>
    </row>
    <row r="82" spans="1:37">
      <c r="B82" s="62" t="s">
        <v>76</v>
      </c>
      <c r="C82" s="62"/>
      <c r="D82" s="62"/>
      <c r="E82" s="62"/>
      <c r="F82" s="62"/>
      <c r="G82" s="63">
        <f t="shared" ref="G82:R82" ca="1" si="16">IF(G42&lt;=$G$32,SUM(G70,G78:G80),0)</f>
        <v>-7423239.7139901407</v>
      </c>
      <c r="H82" s="63">
        <f t="shared" ca="1" si="16"/>
        <v>1578363.3326921449</v>
      </c>
      <c r="I82" s="63">
        <f t="shared" ca="1" si="16"/>
        <v>1657631.1646956587</v>
      </c>
      <c r="J82" s="63">
        <f t="shared" ca="1" si="16"/>
        <v>1739382.5248092432</v>
      </c>
      <c r="K82" s="63">
        <f t="shared" ca="1" si="16"/>
        <v>1823694.028739199</v>
      </c>
      <c r="L82" s="63">
        <f t="shared" ca="1" si="16"/>
        <v>1910644.6328602768</v>
      </c>
      <c r="M82" s="63">
        <f t="shared" ca="1" si="16"/>
        <v>2000315.7052796748</v>
      </c>
      <c r="N82" s="63">
        <f t="shared" ca="1" si="16"/>
        <v>2092791.0990498364</v>
      </c>
      <c r="O82" s="63">
        <f t="shared" ca="1" si="16"/>
        <v>2188157.2275948497</v>
      </c>
      <c r="P82" s="63">
        <f t="shared" ca="1" si="16"/>
        <v>45353925.747567885</v>
      </c>
      <c r="Q82" s="63">
        <f t="shared" si="16"/>
        <v>0</v>
      </c>
      <c r="R82" s="63">
        <f t="shared" si="16"/>
        <v>0</v>
      </c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ht="16" thickBot="1"/>
    <row r="84" spans="1:37">
      <c r="B84" s="30" t="s">
        <v>68</v>
      </c>
      <c r="C84" s="31"/>
      <c r="D84" s="31"/>
      <c r="E84" s="31"/>
      <c r="F84" s="31"/>
      <c r="G84" s="32">
        <f ca="1">SUM(G82:R82)</f>
        <v>52921665.749298625</v>
      </c>
    </row>
    <row r="85" spans="1:37">
      <c r="B85" s="33" t="s">
        <v>69</v>
      </c>
      <c r="G85" s="34">
        <f ca="1">NPV($R$26,H82:R82)</f>
        <v>34439571.121495537</v>
      </c>
    </row>
    <row r="86" spans="1:37">
      <c r="B86" s="33" t="s">
        <v>70</v>
      </c>
      <c r="G86" s="34">
        <f ca="1">G85+G82</f>
        <v>27016331.407505397</v>
      </c>
    </row>
    <row r="87" spans="1:37">
      <c r="B87" s="33" t="s">
        <v>77</v>
      </c>
      <c r="G87" s="39">
        <f ca="1">IRR(G82:R82)</f>
        <v>0.35545302974029291</v>
      </c>
    </row>
    <row r="88" spans="1:37" ht="16" thickBot="1">
      <c r="B88" s="36" t="s">
        <v>72</v>
      </c>
      <c r="C88" s="37"/>
      <c r="D88" s="37"/>
      <c r="E88" s="37"/>
      <c r="F88" s="37"/>
      <c r="G88" s="38">
        <f ca="1">(G84/-G82)+1</f>
        <v>8.1291872266444933</v>
      </c>
    </row>
    <row r="90" spans="1:37" s="5" customFormat="1">
      <c r="A90" s="40"/>
      <c r="B90" s="5" t="s">
        <v>143</v>
      </c>
      <c r="H90" s="27">
        <f t="shared" ref="H90:R90" si="17">H42</f>
        <v>1</v>
      </c>
      <c r="I90" s="27">
        <f t="shared" si="17"/>
        <v>2</v>
      </c>
      <c r="J90" s="27">
        <f t="shared" si="17"/>
        <v>3</v>
      </c>
      <c r="K90" s="27">
        <f t="shared" si="17"/>
        <v>4</v>
      </c>
      <c r="L90" s="27">
        <f t="shared" si="17"/>
        <v>5</v>
      </c>
      <c r="M90" s="27">
        <f t="shared" si="17"/>
        <v>6</v>
      </c>
      <c r="N90" s="27">
        <f t="shared" si="17"/>
        <v>7</v>
      </c>
      <c r="O90" s="27">
        <f t="shared" si="17"/>
        <v>8</v>
      </c>
      <c r="P90" s="27">
        <f t="shared" si="17"/>
        <v>9</v>
      </c>
      <c r="Q90" s="27">
        <f t="shared" si="17"/>
        <v>10</v>
      </c>
      <c r="R90" s="27">
        <f t="shared" si="17"/>
        <v>11</v>
      </c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</row>
    <row r="91" spans="1:37">
      <c r="B91" s="3" t="s">
        <v>144</v>
      </c>
      <c r="H91" s="9">
        <f t="shared" ref="H91:R91" ca="1" si="18">H47/$G$17</f>
        <v>42</v>
      </c>
      <c r="I91" s="9">
        <f t="shared" ca="1" si="18"/>
        <v>43.26</v>
      </c>
      <c r="J91" s="9">
        <f t="shared" ca="1" si="18"/>
        <v>44.5578</v>
      </c>
      <c r="K91" s="9">
        <f t="shared" ca="1" si="18"/>
        <v>45.894534</v>
      </c>
      <c r="L91" s="9">
        <f t="shared" ca="1" si="18"/>
        <v>47.271370019999999</v>
      </c>
      <c r="M91" s="9">
        <f t="shared" ca="1" si="18"/>
        <v>48.689511120599988</v>
      </c>
      <c r="N91" s="9">
        <f t="shared" ca="1" si="18"/>
        <v>50.150196454217998</v>
      </c>
      <c r="O91" s="9">
        <f t="shared" ca="1" si="18"/>
        <v>51.654702347844541</v>
      </c>
      <c r="P91" s="9">
        <f t="shared" ca="1" si="18"/>
        <v>53.204343418279869</v>
      </c>
      <c r="Q91" s="9">
        <f t="shared" ca="1" si="18"/>
        <v>54.800473720828265</v>
      </c>
      <c r="R91" s="9">
        <f t="shared" ca="1" si="18"/>
        <v>56.444487932453114</v>
      </c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</row>
    <row r="92" spans="1:37">
      <c r="B92" s="3" t="s">
        <v>128</v>
      </c>
      <c r="H92" s="9">
        <f t="shared" ref="H92:R92" ca="1" si="19">H49/$G$17</f>
        <v>0</v>
      </c>
      <c r="I92" s="9">
        <f t="shared" ca="1" si="19"/>
        <v>0</v>
      </c>
      <c r="J92" s="9">
        <f t="shared" ca="1" si="19"/>
        <v>0</v>
      </c>
      <c r="K92" s="9">
        <f t="shared" ca="1" si="19"/>
        <v>0</v>
      </c>
      <c r="L92" s="9">
        <f t="shared" ca="1" si="19"/>
        <v>0</v>
      </c>
      <c r="M92" s="9">
        <f t="shared" ca="1" si="19"/>
        <v>0</v>
      </c>
      <c r="N92" s="9">
        <f t="shared" ca="1" si="19"/>
        <v>0</v>
      </c>
      <c r="O92" s="9">
        <f t="shared" ca="1" si="19"/>
        <v>0</v>
      </c>
      <c r="P92" s="9">
        <f t="shared" ca="1" si="19"/>
        <v>0</v>
      </c>
      <c r="Q92" s="9">
        <f t="shared" ca="1" si="19"/>
        <v>0</v>
      </c>
      <c r="R92" s="9">
        <f t="shared" ca="1" si="19"/>
        <v>0</v>
      </c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</row>
    <row r="93" spans="1:37">
      <c r="B93" s="3" t="s">
        <v>37</v>
      </c>
      <c r="H93" s="9">
        <f ca="1">H91-H92</f>
        <v>42</v>
      </c>
      <c r="I93" s="9">
        <f t="shared" ref="I93:R93" ca="1" si="20">I91-I92</f>
        <v>43.26</v>
      </c>
      <c r="J93" s="9">
        <f t="shared" ca="1" si="20"/>
        <v>44.5578</v>
      </c>
      <c r="K93" s="9">
        <f t="shared" ca="1" si="20"/>
        <v>45.894534</v>
      </c>
      <c r="L93" s="9">
        <f t="shared" ca="1" si="20"/>
        <v>47.271370019999999</v>
      </c>
      <c r="M93" s="9">
        <f t="shared" ca="1" si="20"/>
        <v>48.689511120599988</v>
      </c>
      <c r="N93" s="9">
        <f t="shared" ca="1" si="20"/>
        <v>50.150196454217998</v>
      </c>
      <c r="O93" s="9">
        <f t="shared" ca="1" si="20"/>
        <v>51.654702347844541</v>
      </c>
      <c r="P93" s="9">
        <f t="shared" ca="1" si="20"/>
        <v>53.204343418279869</v>
      </c>
      <c r="Q93" s="9">
        <f t="shared" ca="1" si="20"/>
        <v>54.800473720828265</v>
      </c>
      <c r="R93" s="9">
        <f t="shared" ca="1" si="20"/>
        <v>56.444487932453114</v>
      </c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</row>
    <row r="94" spans="1:37">
      <c r="B94" s="3" t="s">
        <v>145</v>
      </c>
      <c r="H94" s="28">
        <f>$G$28</f>
        <v>0.06</v>
      </c>
      <c r="I94" s="28">
        <f t="shared" ref="I94:R94" si="21">$G$28</f>
        <v>0.06</v>
      </c>
      <c r="J94" s="28">
        <f t="shared" si="21"/>
        <v>0.06</v>
      </c>
      <c r="K94" s="28">
        <f t="shared" si="21"/>
        <v>0.06</v>
      </c>
      <c r="L94" s="28">
        <f t="shared" si="21"/>
        <v>0.06</v>
      </c>
      <c r="M94" s="28">
        <f t="shared" si="21"/>
        <v>0.06</v>
      </c>
      <c r="N94" s="28">
        <f t="shared" si="21"/>
        <v>0.06</v>
      </c>
      <c r="O94" s="28">
        <f t="shared" si="21"/>
        <v>0.06</v>
      </c>
      <c r="P94" s="28">
        <f t="shared" si="21"/>
        <v>0.06</v>
      </c>
      <c r="Q94" s="28">
        <f t="shared" si="21"/>
        <v>0.06</v>
      </c>
      <c r="R94" s="28">
        <f t="shared" si="21"/>
        <v>0.06</v>
      </c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</row>
    <row r="95" spans="1:37">
      <c r="B95" s="3" t="s">
        <v>104</v>
      </c>
      <c r="H95" s="9">
        <f ca="1">H93*H94</f>
        <v>2.52</v>
      </c>
      <c r="I95" s="9">
        <f t="shared" ref="I95:R95" ca="1" si="22">I93*I94</f>
        <v>2.5955999999999997</v>
      </c>
      <c r="J95" s="9">
        <f t="shared" ca="1" si="22"/>
        <v>2.6734679999999997</v>
      </c>
      <c r="K95" s="9">
        <f t="shared" ca="1" si="22"/>
        <v>2.7536720400000001</v>
      </c>
      <c r="L95" s="9">
        <f t="shared" ca="1" si="22"/>
        <v>2.8362822012</v>
      </c>
      <c r="M95" s="9">
        <f t="shared" ca="1" si="22"/>
        <v>2.9213706672359994</v>
      </c>
      <c r="N95" s="9">
        <f t="shared" ca="1" si="22"/>
        <v>3.0090117872530797</v>
      </c>
      <c r="O95" s="9">
        <f t="shared" ca="1" si="22"/>
        <v>3.0992821408706726</v>
      </c>
      <c r="P95" s="9">
        <f t="shared" ca="1" si="22"/>
        <v>3.1922606050967919</v>
      </c>
      <c r="Q95" s="9">
        <f t="shared" ca="1" si="22"/>
        <v>3.2880284232496959</v>
      </c>
      <c r="R95" s="9">
        <f t="shared" ca="1" si="22"/>
        <v>3.3866692759471868</v>
      </c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</row>
    <row r="97" spans="2:37">
      <c r="B97"/>
      <c r="C97"/>
      <c r="D97"/>
      <c r="E97"/>
      <c r="F97"/>
      <c r="G97"/>
      <c r="H97"/>
      <c r="I97"/>
      <c r="J97"/>
      <c r="K97"/>
      <c r="L97" s="5"/>
      <c r="M97" s="5"/>
      <c r="N97" s="5"/>
      <c r="O97" s="5"/>
      <c r="P97" s="7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</row>
    <row r="98" spans="2:37">
      <c r="B98"/>
      <c r="C98"/>
      <c r="D98"/>
      <c r="E98"/>
      <c r="F98"/>
      <c r="G98"/>
      <c r="H98"/>
      <c r="I98"/>
      <c r="J98"/>
      <c r="K98"/>
    </row>
    <row r="99" spans="2:37">
      <c r="B99"/>
      <c r="C99"/>
      <c r="D99"/>
      <c r="E99"/>
      <c r="F99"/>
      <c r="G99"/>
      <c r="H99"/>
      <c r="I99"/>
      <c r="J99"/>
      <c r="K99"/>
    </row>
    <row r="100" spans="2:37">
      <c r="B100"/>
      <c r="C100"/>
      <c r="D100"/>
      <c r="E100"/>
      <c r="F100"/>
      <c r="G100"/>
      <c r="H100"/>
      <c r="I100"/>
      <c r="J100"/>
      <c r="K100"/>
    </row>
    <row r="101" spans="2:37">
      <c r="B101"/>
      <c r="C101"/>
      <c r="D101"/>
      <c r="E101"/>
      <c r="F101"/>
      <c r="G101"/>
      <c r="H101"/>
      <c r="I101"/>
      <c r="J101"/>
      <c r="K101"/>
    </row>
    <row r="102" spans="2:37">
      <c r="B102"/>
      <c r="C102"/>
      <c r="D102"/>
      <c r="E102"/>
      <c r="F102"/>
      <c r="G102"/>
      <c r="H102"/>
      <c r="I102"/>
      <c r="J102"/>
      <c r="K102"/>
    </row>
    <row r="103" spans="2:37">
      <c r="B103"/>
      <c r="C103"/>
      <c r="D103"/>
      <c r="E103"/>
      <c r="F103"/>
      <c r="G103"/>
      <c r="H103"/>
      <c r="I103"/>
      <c r="J103"/>
      <c r="K103"/>
    </row>
    <row r="104" spans="2:37">
      <c r="B104"/>
      <c r="C104"/>
      <c r="D104"/>
      <c r="E104"/>
      <c r="F104"/>
      <c r="G104"/>
      <c r="H104"/>
      <c r="I104"/>
      <c r="J104"/>
      <c r="K104"/>
    </row>
    <row r="105" spans="2:37">
      <c r="B105"/>
      <c r="C105"/>
      <c r="D105"/>
      <c r="E105"/>
      <c r="F105"/>
      <c r="G105"/>
      <c r="H105"/>
      <c r="I105"/>
      <c r="J105"/>
      <c r="K105"/>
    </row>
    <row r="106" spans="2:37">
      <c r="B106"/>
      <c r="C106"/>
      <c r="D106"/>
      <c r="E106"/>
      <c r="F106"/>
      <c r="G106"/>
      <c r="H106"/>
      <c r="I106"/>
      <c r="J106"/>
      <c r="K106"/>
    </row>
    <row r="107" spans="2:37">
      <c r="B107"/>
      <c r="C107"/>
      <c r="D107"/>
      <c r="E107"/>
      <c r="F107"/>
      <c r="G107"/>
      <c r="H107"/>
      <c r="I107"/>
      <c r="J107"/>
      <c r="K107"/>
    </row>
  </sheetData>
  <pageMargins left="0.7" right="0.7" top="0.75" bottom="0.75" header="0.3" footer="0.3"/>
  <pageSetup scale="48" orientation="portrait" r:id="rId1"/>
  <headerFooter>
    <oddHeader xml:space="preserve">&amp;L2019 ULI Hines Student Competition&amp;R2019-331 &amp;A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0ED68-B544-4EAE-A479-B62D6E917B83}">
  <sheetPr>
    <tabColor theme="9"/>
    <pageSetUpPr fitToPage="1"/>
  </sheetPr>
  <dimension ref="B2:P85"/>
  <sheetViews>
    <sheetView showWhiteSpace="0" view="pageBreakPreview" topLeftCell="A43" zoomScaleNormal="100" zoomScaleSheetLayoutView="100" workbookViewId="0">
      <selection activeCell="F88" sqref="F88"/>
    </sheetView>
  </sheetViews>
  <sheetFormatPr baseColWidth="10" defaultColWidth="9.1640625" defaultRowHeight="14" customHeight="1"/>
  <cols>
    <col min="1" max="1" width="3.5" style="176" customWidth="1"/>
    <col min="2" max="2" width="12.5" style="176" customWidth="1"/>
    <col min="3" max="3" width="20.5" style="176" customWidth="1"/>
    <col min="4" max="4" width="12.5" style="103" customWidth="1"/>
    <col min="5" max="14" width="13.5" style="176" customWidth="1"/>
    <col min="15" max="15" width="12.5" style="176" customWidth="1"/>
    <col min="16" max="16" width="9.1640625" style="176"/>
    <col min="17" max="17" width="11.1640625" style="176" bestFit="1" customWidth="1"/>
    <col min="18" max="16384" width="9.1640625" style="176"/>
  </cols>
  <sheetData>
    <row r="2" spans="2:15" s="91" customFormat="1" ht="13.5" customHeight="1">
      <c r="B2" s="427" t="s">
        <v>311</v>
      </c>
      <c r="C2" s="427"/>
      <c r="D2" s="428"/>
      <c r="E2" s="429"/>
      <c r="F2" s="429"/>
      <c r="G2" s="429"/>
      <c r="H2" s="429"/>
      <c r="I2" s="429"/>
      <c r="J2" s="429"/>
      <c r="K2" s="429"/>
      <c r="L2" s="429"/>
      <c r="M2" s="429"/>
      <c r="N2" s="430" t="s">
        <v>312</v>
      </c>
      <c r="O2" s="431" t="s">
        <v>442</v>
      </c>
    </row>
    <row r="3" spans="2:15" ht="11.25" customHeight="1">
      <c r="B3" s="92"/>
      <c r="C3" s="92"/>
      <c r="D3" s="323" t="s">
        <v>313</v>
      </c>
      <c r="E3" s="324"/>
      <c r="F3" s="406"/>
      <c r="G3" s="113"/>
      <c r="H3" s="163"/>
      <c r="I3" s="163"/>
      <c r="J3" s="163"/>
      <c r="K3" s="163"/>
      <c r="L3" s="163"/>
      <c r="M3" s="163"/>
      <c r="N3" s="163"/>
      <c r="O3" s="163"/>
    </row>
    <row r="4" spans="2:15" ht="11.25" customHeight="1">
      <c r="B4" s="93"/>
      <c r="C4" s="93"/>
      <c r="D4" s="94" t="s">
        <v>315</v>
      </c>
      <c r="E4" s="94">
        <v>2023</v>
      </c>
      <c r="F4" s="330">
        <f>E4+1</f>
        <v>2024</v>
      </c>
      <c r="G4" s="330">
        <f t="shared" ref="G4:L4" si="0">F4+1</f>
        <v>2025</v>
      </c>
      <c r="H4" s="331">
        <f t="shared" si="0"/>
        <v>2026</v>
      </c>
      <c r="I4" s="331">
        <f t="shared" si="0"/>
        <v>2027</v>
      </c>
      <c r="J4" s="331">
        <f t="shared" si="0"/>
        <v>2028</v>
      </c>
      <c r="K4" s="331">
        <f t="shared" si="0"/>
        <v>2029</v>
      </c>
      <c r="L4" s="331">
        <f t="shared" si="0"/>
        <v>2030</v>
      </c>
      <c r="M4" s="331">
        <f>L4+1</f>
        <v>2031</v>
      </c>
      <c r="N4" s="331">
        <f>M4+1</f>
        <v>2032</v>
      </c>
      <c r="O4" s="331">
        <f>N4+1</f>
        <v>2033</v>
      </c>
    </row>
    <row r="5" spans="2:15" ht="11.25" customHeight="1">
      <c r="B5" s="96" t="s">
        <v>316</v>
      </c>
      <c r="C5" s="96"/>
      <c r="D5" s="97"/>
      <c r="E5" s="98"/>
      <c r="F5" s="165"/>
      <c r="G5" s="165"/>
      <c r="H5" s="165"/>
      <c r="I5" s="165"/>
      <c r="J5" s="165"/>
      <c r="K5" s="165"/>
      <c r="L5" s="165"/>
      <c r="M5" s="313"/>
      <c r="N5" s="313"/>
      <c r="O5" s="313"/>
    </row>
    <row r="6" spans="2:15" ht="11.25" customHeight="1">
      <c r="B6" s="321" t="s">
        <v>317</v>
      </c>
      <c r="C6" s="407" t="s">
        <v>318</v>
      </c>
      <c r="D6" s="351"/>
      <c r="E6" s="342">
        <v>0</v>
      </c>
      <c r="F6" s="342">
        <v>0</v>
      </c>
      <c r="G6" s="342">
        <v>0</v>
      </c>
      <c r="H6" s="343">
        <f ca="1">'Phase II - CF MF Market Rental'!H63</f>
        <v>3869099.245289044</v>
      </c>
      <c r="I6" s="343">
        <f ca="1">'Phase II - CF MF Market Rental'!I63</f>
        <v>5115365.7048266781</v>
      </c>
      <c r="J6" s="343">
        <f ca="1">'Phase II - CF MF Market Rental'!J63</f>
        <v>5232138.3908924423</v>
      </c>
      <c r="K6" s="343">
        <f ca="1">'Phase II - CF MF Market Rental'!K63</f>
        <v>5350392.1860130075</v>
      </c>
      <c r="L6" s="343">
        <f ca="1">'Phase II - CF MF Market Rental'!L63</f>
        <v>5470065.8937546983</v>
      </c>
      <c r="M6" s="343">
        <f ca="1">'Phase II - CF MF Market Rental'!M63</f>
        <v>5591091.0706700226</v>
      </c>
      <c r="N6" s="343">
        <f ca="1">'Phase II - CF MF Market Rental'!N63</f>
        <v>5713391.5337593816</v>
      </c>
      <c r="O6" s="343">
        <f ca="1">'Phase II - CF MF Market Rental'!O63</f>
        <v>5836882.8392086755</v>
      </c>
    </row>
    <row r="7" spans="2:15" ht="11.25" customHeight="1">
      <c r="B7" s="321" t="s">
        <v>319</v>
      </c>
      <c r="C7" s="407" t="s">
        <v>318</v>
      </c>
      <c r="D7" s="351"/>
      <c r="E7" s="342">
        <v>0</v>
      </c>
      <c r="F7" s="342">
        <v>0</v>
      </c>
      <c r="G7" s="342">
        <v>0</v>
      </c>
      <c r="H7" s="343">
        <f ca="1">'Phase II - CF Affordable Rent'!H62</f>
        <v>428794.03000397119</v>
      </c>
      <c r="I7" s="343">
        <f ca="1">'Phase II - CF Affordable Rent'!I62</f>
        <v>607331.15758858423</v>
      </c>
      <c r="J7" s="343">
        <f ca="1">'Phase II - CF Affordable Rent'!J62</f>
        <v>621770.93836158153</v>
      </c>
      <c r="K7" s="343">
        <f ca="1">'Phase II - CF Affordable Rent'!K62</f>
        <v>636383.72946679802</v>
      </c>
      <c r="L7" s="343">
        <f ca="1">'Phase II - CF Affordable Rent'!L62</f>
        <v>651160.17780378019</v>
      </c>
      <c r="M7" s="408">
        <f ca="1">'Phase II - CF Affordable Rent'!M62</f>
        <v>666089.88621957216</v>
      </c>
      <c r="N7" s="408">
        <f ca="1">'Phase II - CF Affordable Rent'!N62</f>
        <v>681161.34300483437</v>
      </c>
      <c r="O7" s="408">
        <f ca="1">'Phase II - CF Affordable Rent'!O62</f>
        <v>696361.84728119301</v>
      </c>
    </row>
    <row r="8" spans="2:15" ht="11.25" customHeight="1">
      <c r="B8" s="445" t="s">
        <v>320</v>
      </c>
      <c r="C8" s="445"/>
      <c r="D8" s="351"/>
      <c r="E8" s="342">
        <v>0</v>
      </c>
      <c r="F8" s="342">
        <v>0</v>
      </c>
      <c r="G8" s="342">
        <v>0</v>
      </c>
      <c r="H8" s="343">
        <f ca="1">'Phase II - CF Commercial'!H58</f>
        <v>3715534.9911293285</v>
      </c>
      <c r="I8" s="343">
        <f ca="1">'Phase II - CF Commercial'!I58</f>
        <v>3841728.2035919144</v>
      </c>
      <c r="J8" s="343">
        <f ca="1">'Phase II - CF Commercial'!J58</f>
        <v>3972001.7556829527</v>
      </c>
      <c r="K8" s="343">
        <f ca="1">'Phase II - CF Commercial'!K58</f>
        <v>4106483.9484563884</v>
      </c>
      <c r="L8" s="343">
        <f ca="1">'Phase II - CF Commercial'!L58</f>
        <v>4245307.0498150848</v>
      </c>
      <c r="M8" s="408">
        <f ca="1">'Phase II - CF Commercial'!M58</f>
        <v>4388607.4158726428</v>
      </c>
      <c r="N8" s="408">
        <f ca="1">'Phase II - CF Commercial'!N58</f>
        <v>4536525.6160031902</v>
      </c>
      <c r="O8" s="408">
        <f ca="1">'Phase II - CF Commercial'!O58</f>
        <v>4689206.5616907412</v>
      </c>
    </row>
    <row r="9" spans="2:15" ht="11.25" customHeight="1">
      <c r="B9" s="407"/>
      <c r="C9" s="407" t="s">
        <v>378</v>
      </c>
      <c r="D9" s="351"/>
      <c r="E9" s="342">
        <v>0</v>
      </c>
      <c r="F9" s="342">
        <v>0</v>
      </c>
      <c r="G9" s="342">
        <v>0</v>
      </c>
      <c r="H9" s="343">
        <f ca="1">'Phase II - CF Civic'!H58</f>
        <v>1176826.5468016684</v>
      </c>
      <c r="I9" s="343">
        <f ca="1">'Phase II - CF Civic'!I58</f>
        <v>1217442.2495777018</v>
      </c>
      <c r="J9" s="343">
        <f ca="1">'Phase II - CF Civic'!J58</f>
        <v>1259382.6415644558</v>
      </c>
      <c r="K9" s="343">
        <f ca="1">'Phase II - CF Civic'!K58</f>
        <v>1302689.587800801</v>
      </c>
      <c r="L9" s="343">
        <f ca="1">'Phase II - CF Civic'!L58</f>
        <v>1347406.2517640246</v>
      </c>
      <c r="M9" s="408">
        <f ca="1">'Phase II - CF Civic'!M58</f>
        <v>1393577.1351727284</v>
      </c>
      <c r="N9" s="408">
        <f ca="1">'Phase II - CF Civic'!N58</f>
        <v>1441248.1190008102</v>
      </c>
      <c r="O9" s="408">
        <f ca="1">'Phase II - CF Civic'!O58</f>
        <v>1490466.505739192</v>
      </c>
    </row>
    <row r="10" spans="2:15" ht="11.25" customHeight="1">
      <c r="B10" s="445" t="s">
        <v>321</v>
      </c>
      <c r="C10" s="445"/>
      <c r="D10" s="351"/>
      <c r="E10" s="342">
        <v>0</v>
      </c>
      <c r="F10" s="342">
        <v>0</v>
      </c>
      <c r="G10" s="342">
        <v>0</v>
      </c>
      <c r="H10" s="343">
        <f ca="1">'Phase II - CF Retail'!H60</f>
        <v>5619460.6060679276</v>
      </c>
      <c r="I10" s="343">
        <f ca="1">'Phase II - CF Retail'!I60</f>
        <v>5800041.4969892865</v>
      </c>
      <c r="J10" s="343">
        <f ca="1">'Phase II - CF Retail'!J60</f>
        <v>5986279.7560930718</v>
      </c>
      <c r="K10" s="343">
        <f ca="1">'Phase II - CF Retail'!K60</f>
        <v>6178349.9032538524</v>
      </c>
      <c r="L10" s="343">
        <f ca="1">'Phase II - CF Retail'!L60</f>
        <v>6376431.7899190169</v>
      </c>
      <c r="M10" s="408">
        <f ca="1">'Phase II - CF Retail'!M60</f>
        <v>6580710.7609754885</v>
      </c>
      <c r="N10" s="408">
        <f ca="1">'Phase II - CF Retail'!N60</f>
        <v>6791377.8215108309</v>
      </c>
      <c r="O10" s="408">
        <f ca="1">'Phase II - CF Retail'!O60</f>
        <v>7008629.8086163551</v>
      </c>
    </row>
    <row r="11" spans="2:15" ht="11.25" customHeight="1">
      <c r="B11" s="445" t="s">
        <v>322</v>
      </c>
      <c r="C11" s="445"/>
      <c r="D11" s="351"/>
      <c r="E11" s="342">
        <v>0</v>
      </c>
      <c r="F11" s="342">
        <v>0</v>
      </c>
      <c r="G11" s="342">
        <v>0</v>
      </c>
      <c r="H11" s="343">
        <f ca="1">'Phase II - CF Hotel'!H69</f>
        <v>1266403.5897224806</v>
      </c>
      <c r="I11" s="343">
        <f ca="1">'Phase II - CF Hotel'!I69</f>
        <v>1650715.9871862661</v>
      </c>
      <c r="J11" s="343">
        <f ca="1">'Phase II - CF Hotel'!J69</f>
        <v>2046557.7565739639</v>
      </c>
      <c r="K11" s="343">
        <f ca="1">'Phase II - CF Hotel'!K69</f>
        <v>2454274.7790432964</v>
      </c>
      <c r="L11" s="343">
        <f ca="1">'Phase II - CF Hotel'!L69</f>
        <v>2874223.3121867068</v>
      </c>
      <c r="M11" s="408">
        <f ca="1">'Phase II - CF Hotel'!M69</f>
        <v>3306770.301324416</v>
      </c>
      <c r="N11" s="408">
        <f ca="1">'Phase II - CF Hotel'!N69</f>
        <v>3752293.7001362629</v>
      </c>
      <c r="O11" s="408">
        <f ca="1">'Phase II - CF Hotel'!O69</f>
        <v>4211182.8009124622</v>
      </c>
    </row>
    <row r="12" spans="2:15" ht="11.25" customHeight="1">
      <c r="B12" s="446" t="s">
        <v>324</v>
      </c>
      <c r="C12" s="446"/>
      <c r="D12" s="352"/>
      <c r="E12" s="345">
        <v>0</v>
      </c>
      <c r="F12" s="345">
        <v>0</v>
      </c>
      <c r="G12" s="345">
        <v>0</v>
      </c>
      <c r="H12" s="346">
        <f t="shared" ref="H12:O12" ca="1" si="1">SUM(H6:H11)</f>
        <v>16076119.00901442</v>
      </c>
      <c r="I12" s="346">
        <f t="shared" ca="1" si="1"/>
        <v>18232624.799760431</v>
      </c>
      <c r="J12" s="346">
        <f t="shared" ca="1" si="1"/>
        <v>19118131.239168469</v>
      </c>
      <c r="K12" s="346">
        <f t="shared" ca="1" si="1"/>
        <v>20028574.134034142</v>
      </c>
      <c r="L12" s="346">
        <f t="shared" ca="1" si="1"/>
        <v>20964594.475243311</v>
      </c>
      <c r="M12" s="347">
        <f t="shared" ca="1" si="1"/>
        <v>21926846.570234869</v>
      </c>
      <c r="N12" s="347">
        <f t="shared" ca="1" si="1"/>
        <v>22915998.133415308</v>
      </c>
      <c r="O12" s="347">
        <f t="shared" ca="1" si="1"/>
        <v>23932730.36344862</v>
      </c>
    </row>
    <row r="13" spans="2:15" ht="11.25" customHeight="1">
      <c r="B13" s="446" t="s">
        <v>325</v>
      </c>
      <c r="C13" s="446"/>
      <c r="D13" s="352"/>
      <c r="E13" s="345">
        <v>0</v>
      </c>
      <c r="F13" s="345">
        <v>0</v>
      </c>
      <c r="G13" s="345">
        <v>0</v>
      </c>
      <c r="H13" s="346">
        <v>0</v>
      </c>
      <c r="I13" s="346">
        <v>0</v>
      </c>
      <c r="J13" s="346">
        <v>0</v>
      </c>
      <c r="K13" s="346">
        <v>0</v>
      </c>
      <c r="L13" s="346">
        <v>0</v>
      </c>
      <c r="M13" s="347">
        <v>0</v>
      </c>
      <c r="N13" s="348">
        <f ca="1">N31-N32</f>
        <v>430789146.54207516</v>
      </c>
      <c r="O13" s="346">
        <v>0</v>
      </c>
    </row>
    <row r="14" spans="2:15" ht="11.25" customHeight="1">
      <c r="B14" s="102"/>
      <c r="C14" s="102" t="s">
        <v>326</v>
      </c>
      <c r="D14" s="353"/>
      <c r="E14" s="349">
        <f t="shared" ref="E14:N14" si="2">E12+E13</f>
        <v>0</v>
      </c>
      <c r="F14" s="349">
        <f t="shared" ref="F14:G14" si="3">F12+F13</f>
        <v>0</v>
      </c>
      <c r="G14" s="349">
        <f t="shared" si="3"/>
        <v>0</v>
      </c>
      <c r="H14" s="350">
        <f t="shared" ca="1" si="2"/>
        <v>16076119.00901442</v>
      </c>
      <c r="I14" s="350">
        <f t="shared" ca="1" si="2"/>
        <v>18232624.799760431</v>
      </c>
      <c r="J14" s="350">
        <f t="shared" ca="1" si="2"/>
        <v>19118131.239168469</v>
      </c>
      <c r="K14" s="350">
        <f t="shared" ca="1" si="2"/>
        <v>20028574.134034142</v>
      </c>
      <c r="L14" s="350">
        <f t="shared" ca="1" si="2"/>
        <v>20964594.475243311</v>
      </c>
      <c r="M14" s="350">
        <f t="shared" ca="1" si="2"/>
        <v>21926846.570234869</v>
      </c>
      <c r="N14" s="350">
        <f t="shared" ca="1" si="2"/>
        <v>453705144.67549044</v>
      </c>
      <c r="O14" s="350">
        <v>0</v>
      </c>
    </row>
    <row r="15" spans="2:15" s="108" customFormat="1" ht="11.25" customHeight="1">
      <c r="B15" s="104"/>
      <c r="C15" s="105"/>
      <c r="D15" s="106"/>
      <c r="E15" s="107"/>
    </row>
    <row r="16" spans="2:15" ht="11.25" customHeight="1">
      <c r="B16" s="96" t="s">
        <v>327</v>
      </c>
      <c r="C16" s="96"/>
      <c r="D16" s="354"/>
      <c r="I16" s="355"/>
      <c r="J16" s="355"/>
      <c r="K16" s="355"/>
      <c r="L16" s="355"/>
      <c r="M16" s="356"/>
      <c r="N16" s="356"/>
      <c r="O16" s="355"/>
    </row>
    <row r="17" spans="2:15" ht="11.25" customHeight="1">
      <c r="B17" s="321" t="s">
        <v>317</v>
      </c>
      <c r="C17" s="407" t="s">
        <v>318</v>
      </c>
      <c r="D17" s="351"/>
      <c r="E17" s="351">
        <v>0</v>
      </c>
      <c r="F17" s="351">
        <v>0</v>
      </c>
      <c r="G17" s="343">
        <f ca="1">-('Phase II - CF MF Market Rental'!R33-'Phase II - CF MF Market Rental'!G4-'Phase II - CF MF Market Rental'!G7-'Phase II - CF MF Market Rental'!G8)*Assumptions!O26</f>
        <v>-61974997.433636993</v>
      </c>
      <c r="H17" s="351">
        <f ca="1">-('Phase II - CF MF Market Rental'!R33-'Phase II - CF MF Market Rental'!G4-'Phase II - CF MF Market Rental'!G7-'Phase II - CF MF Market Rental'!G8)*Assumptions!O27</f>
        <v>-20658332.477878999</v>
      </c>
      <c r="I17" s="351">
        <v>0</v>
      </c>
      <c r="J17" s="351">
        <v>0</v>
      </c>
      <c r="K17" s="351">
        <v>0</v>
      </c>
      <c r="L17" s="351">
        <v>0</v>
      </c>
      <c r="M17" s="351">
        <v>0</v>
      </c>
      <c r="N17" s="351">
        <v>0</v>
      </c>
      <c r="O17" s="351">
        <v>0</v>
      </c>
    </row>
    <row r="18" spans="2:15" ht="11.25" customHeight="1">
      <c r="B18" s="321" t="s">
        <v>319</v>
      </c>
      <c r="C18" s="407" t="s">
        <v>318</v>
      </c>
      <c r="D18" s="351"/>
      <c r="E18" s="351">
        <v>0</v>
      </c>
      <c r="F18" s="351">
        <v>0</v>
      </c>
      <c r="G18" s="343">
        <f ca="1">-('Phase II - CF Affordable Rent'!R36-'Phase II - CF Affordable Rent'!G4-'Phase II - CF Affordable Rent'!G7-'Phase II - CF Affordable Rent'!G8-'Phase II - CF Affordable Rent'!R35)*Assumptions!O26</f>
        <v>-26560713.185844429</v>
      </c>
      <c r="H18" s="351">
        <f ca="1">-('Phase II - CF Affordable Rent'!R36-'Phase II - CF Affordable Rent'!G4-'Phase II - CF Affordable Rent'!G7-'Phase II - CF Affordable Rent'!G8-'Phase II - CF Affordable Rent'!R35)*Assumptions!O27</f>
        <v>-8853571.0619481429</v>
      </c>
      <c r="I18" s="351">
        <v>0</v>
      </c>
      <c r="J18" s="351">
        <v>0</v>
      </c>
      <c r="K18" s="351">
        <v>0</v>
      </c>
      <c r="L18" s="351">
        <v>0</v>
      </c>
      <c r="M18" s="351">
        <v>0</v>
      </c>
      <c r="N18" s="351">
        <v>0</v>
      </c>
      <c r="O18" s="351">
        <v>0</v>
      </c>
    </row>
    <row r="19" spans="2:15" ht="11.25" customHeight="1">
      <c r="B19" s="445" t="s">
        <v>320</v>
      </c>
      <c r="C19" s="445"/>
      <c r="D19" s="351"/>
      <c r="E19" s="351">
        <v>0</v>
      </c>
      <c r="F19" s="351">
        <v>0</v>
      </c>
      <c r="G19" s="343">
        <f ca="1">-('Phase II - CF Commercial'!R24-'Phase II - CF Commercial'!G4-'Phase II - CF Commercial'!G7-'Phase II - CF Commercial'!G8-'Phase II - CF Commercial'!R18)*Assumptions!O26</f>
        <v>-47595885.345059179</v>
      </c>
      <c r="H19" s="351">
        <f ca="1">-('Phase II - CF Commercial'!R24-'Phase II - CF Commercial'!G4-'Phase II - CF Commercial'!G7-'Phase II - CF Commercial'!G8-'Phase II - CF Commercial'!R18)*Assumptions!O27</f>
        <v>-15865295.115019726</v>
      </c>
      <c r="I19" s="351">
        <v>0</v>
      </c>
      <c r="J19" s="351">
        <v>0</v>
      </c>
      <c r="K19" s="351">
        <v>0</v>
      </c>
      <c r="L19" s="351">
        <v>0</v>
      </c>
      <c r="M19" s="351">
        <v>0</v>
      </c>
      <c r="N19" s="351">
        <v>0</v>
      </c>
      <c r="O19" s="351">
        <v>0</v>
      </c>
    </row>
    <row r="20" spans="2:15" ht="11.25" customHeight="1">
      <c r="B20" s="407"/>
      <c r="C20" s="407" t="s">
        <v>378</v>
      </c>
      <c r="D20" s="351"/>
      <c r="E20" s="351">
        <v>0</v>
      </c>
      <c r="F20" s="351">
        <v>0</v>
      </c>
      <c r="G20" s="350">
        <f ca="1">-('Phase II - CF Civic'!R19-'Phase II - CF Civic'!G4-'Phase II - CF Civic'!G7-'Phase II - CF Civic'!G8-'Phase II - CF Civic'!R18)*Assumptions!O26</f>
        <v>-15150180.634093679</v>
      </c>
      <c r="H20" s="351">
        <f ca="1">-('Phase II - CF Civic'!R19-'Phase II - CF Civic'!G4-'Phase II - CF Civic'!G7-'Phase II - CF Civic'!G8-'Phase II - CF Civic'!R18)*Assumptions!O27</f>
        <v>-5050060.2113645598</v>
      </c>
      <c r="I20" s="351">
        <v>0</v>
      </c>
      <c r="J20" s="351">
        <v>0</v>
      </c>
      <c r="K20" s="351">
        <v>0</v>
      </c>
      <c r="L20" s="351">
        <v>0</v>
      </c>
      <c r="M20" s="351">
        <v>0</v>
      </c>
      <c r="N20" s="351">
        <v>0</v>
      </c>
      <c r="O20" s="351">
        <v>0</v>
      </c>
    </row>
    <row r="21" spans="2:15" ht="11.25" customHeight="1">
      <c r="B21" s="445" t="s">
        <v>328</v>
      </c>
      <c r="C21" s="445"/>
      <c r="D21" s="351"/>
      <c r="E21" s="351">
        <v>0</v>
      </c>
      <c r="F21" s="351">
        <v>0</v>
      </c>
      <c r="G21" s="343">
        <f ca="1">-('Phase II - CF Retail'!R19-'Phase II - CF Retail'!G4-'Phase II - CF Retail'!G7-'Phase II - CF Retail'!G8-'Phase II - CF Retail'!R18)*Assumptions!O26</f>
        <v>-34071612.979907148</v>
      </c>
      <c r="H21" s="351">
        <f ca="1">-('Phase II - CF Retail'!R19-'Phase II - CF Retail'!G4-'Phase II - CF Retail'!G7-'Phase II - CF Retail'!G8-'Phase II - CF Retail'!R18)*Assumptions!O27</f>
        <v>-11357204.326635716</v>
      </c>
      <c r="I21" s="351">
        <v>0</v>
      </c>
      <c r="J21" s="351">
        <v>0</v>
      </c>
      <c r="K21" s="351">
        <v>0</v>
      </c>
      <c r="L21" s="351">
        <v>0</v>
      </c>
      <c r="M21" s="351">
        <v>0</v>
      </c>
      <c r="N21" s="351">
        <v>0</v>
      </c>
      <c r="O21" s="351">
        <v>0</v>
      </c>
    </row>
    <row r="22" spans="2:15" ht="11.25" customHeight="1">
      <c r="B22" s="445" t="s">
        <v>322</v>
      </c>
      <c r="C22" s="445"/>
      <c r="D22" s="351"/>
      <c r="E22" s="351">
        <v>0</v>
      </c>
      <c r="F22" s="351">
        <v>0</v>
      </c>
      <c r="G22" s="343">
        <f ca="1">-('Phase II - CF Hotel'!L19-'Phase II - CF Hotel'!G4-'Phase II - CF Hotel'!G7-'Phase II - CF Hotel'!G8-'Phase II - CF Hotel'!L18)*Assumptions!O26</f>
        <v>-32130512.419858597</v>
      </c>
      <c r="H22" s="351">
        <f ca="1">-('Phase II - CF Hotel'!L19-'Phase II - CF Hotel'!G4-'Phase II - CF Hotel'!G7-'Phase II - CF Hotel'!G8-'Phase II - CF Hotel'!L18)*Assumptions!O27</f>
        <v>-10710170.806619532</v>
      </c>
      <c r="I22" s="351">
        <v>0</v>
      </c>
      <c r="J22" s="351">
        <v>0</v>
      </c>
      <c r="K22" s="351">
        <v>0</v>
      </c>
      <c r="L22" s="351">
        <v>0</v>
      </c>
      <c r="M22" s="351">
        <v>0</v>
      </c>
      <c r="N22" s="351">
        <v>0</v>
      </c>
      <c r="O22" s="351">
        <v>0</v>
      </c>
    </row>
    <row r="23" spans="2:15" ht="11.25" customHeight="1">
      <c r="B23" s="445" t="s">
        <v>323</v>
      </c>
      <c r="C23" s="445"/>
      <c r="D23" s="351"/>
      <c r="E23" s="351">
        <v>0</v>
      </c>
      <c r="F23" s="351">
        <v>0</v>
      </c>
      <c r="G23" s="343">
        <f ca="1">-('Phase II - CF MF Market Rental'!G8+'Phase II - CF Commercial'!G8+'Phase II - CF Civic'!G8+'Phase II - CF Retail'!G8+'Phase II - CF Hotel'!G8)*Assumptions!O26</f>
        <v>-9839080</v>
      </c>
      <c r="H23" s="351">
        <f ca="1">-('Phase II - CF MF Market Rental'!G8+'Phase II - CF Commercial'!G8+'Phase II - CF Civic'!G8+'Phase II - CF Retail'!G8+'Phase II - CF Hotel'!G8)*Assumptions!O27</f>
        <v>-3279693.333333333</v>
      </c>
      <c r="I23" s="351">
        <v>0</v>
      </c>
      <c r="J23" s="351">
        <v>0</v>
      </c>
      <c r="K23" s="351">
        <v>0</v>
      </c>
      <c r="L23" s="351">
        <v>0</v>
      </c>
      <c r="M23" s="351">
        <v>0</v>
      </c>
      <c r="N23" s="351">
        <v>0</v>
      </c>
      <c r="O23" s="351">
        <v>0</v>
      </c>
    </row>
    <row r="24" spans="2:15" ht="11.25" customHeight="1">
      <c r="B24" s="407"/>
      <c r="C24" s="407" t="s">
        <v>329</v>
      </c>
      <c r="D24" s="351"/>
      <c r="E24" s="351">
        <v>0</v>
      </c>
      <c r="F24" s="351">
        <v>0</v>
      </c>
      <c r="G24" s="343">
        <f>-('Phase II - CF MF Market Rental'!G4+'Phase II - CF Commercial'!G4+'Phase II - CF Civic'!G4+'Phase II - CF Retail'!G4+'Phase II - CF Affordable Rent'!G4+'Phase II - CF Hotel'!G4)</f>
        <v>-11908687.5</v>
      </c>
      <c r="H24" s="351">
        <v>0</v>
      </c>
      <c r="I24" s="351">
        <v>0</v>
      </c>
      <c r="J24" s="351">
        <v>0</v>
      </c>
      <c r="K24" s="351">
        <v>0</v>
      </c>
      <c r="L24" s="351">
        <v>0</v>
      </c>
      <c r="M24" s="351">
        <v>0</v>
      </c>
      <c r="N24" s="351">
        <v>0</v>
      </c>
      <c r="O24" s="351">
        <v>0</v>
      </c>
    </row>
    <row r="25" spans="2:15" ht="11.25" customHeight="1">
      <c r="B25" s="445" t="s">
        <v>330</v>
      </c>
      <c r="C25" s="445"/>
      <c r="D25" s="351"/>
      <c r="E25" s="351">
        <v>0</v>
      </c>
      <c r="F25" s="351">
        <v>0</v>
      </c>
      <c r="G25" s="343">
        <f ca="1">-('Phase II - CF MF Market Rental'!G7+'Phase II - CF Commercial'!G7+'Phase II - CF Civic'!G7+'Phase II - CF Retail'!G7+'Phase II - CF Affordable Rent'!G7+'Phase II - CF Hotel'!G7)*Assumptions!O26</f>
        <v>-5222214.9089652803</v>
      </c>
      <c r="H25" s="351">
        <f ca="1">-('Phase II - CF MF Market Rental'!G7+'Phase II - CF Commercial'!G7+'Phase II - CF Civic'!G7+'Phase II - CF Retail'!G7+'Phase II - CF Affordable Rent'!G7+'Phase II - CF Hotel'!G7)*Assumptions!O27</f>
        <v>-1740738.3029884268</v>
      </c>
      <c r="I25" s="351">
        <v>0</v>
      </c>
      <c r="J25" s="351">
        <v>0</v>
      </c>
      <c r="K25" s="351">
        <v>0</v>
      </c>
      <c r="L25" s="351">
        <v>0</v>
      </c>
      <c r="M25" s="351">
        <v>0</v>
      </c>
      <c r="N25" s="351">
        <v>0</v>
      </c>
      <c r="O25" s="351">
        <v>0</v>
      </c>
    </row>
    <row r="26" spans="2:15" ht="11.25" customHeight="1">
      <c r="B26" s="172"/>
      <c r="C26" s="172" t="s">
        <v>331</v>
      </c>
      <c r="D26" s="353"/>
      <c r="E26" s="353">
        <v>0</v>
      </c>
      <c r="F26" s="353">
        <v>0</v>
      </c>
      <c r="G26" s="343">
        <f ca="1">-('Phase II - CF MF Market Rental'!R34+'Phase II - CF Commercial'!R18+'Phase II - CF Civic'!R18+'Phase II - CF Retail'!R18+'Phase II - CF Affordable Rent'!R35+'Phase II - CF Hotel'!L18)*Assumptions!O26</f>
        <v>-2414767.1253236532</v>
      </c>
      <c r="H26" s="353">
        <f ca="1">-('Phase II - CF MF Market Rental'!R34+'Phase II - CF Commercial'!R18+'Phase II - CF Civic'!R18+'Phase II - CF Retail'!R18+'Phase II - CF Affordable Rent'!R35+'Phase II - CF Hotel'!L18)*Assumptions!O27</f>
        <v>-804922.37510788441</v>
      </c>
      <c r="I26" s="353">
        <v>0</v>
      </c>
      <c r="J26" s="353">
        <v>0</v>
      </c>
      <c r="K26" s="353">
        <v>0</v>
      </c>
      <c r="L26" s="353">
        <v>0</v>
      </c>
      <c r="M26" s="353">
        <v>0</v>
      </c>
      <c r="N26" s="353">
        <v>0</v>
      </c>
      <c r="O26" s="353">
        <v>0</v>
      </c>
    </row>
    <row r="27" spans="2:15" ht="11.25" customHeight="1">
      <c r="B27" s="446" t="s">
        <v>332</v>
      </c>
      <c r="C27" s="446"/>
      <c r="D27" s="345"/>
      <c r="E27" s="345">
        <f t="shared" ref="E27:F27" si="4">SUM(E17:E26)</f>
        <v>0</v>
      </c>
      <c r="F27" s="345">
        <f t="shared" si="4"/>
        <v>0</v>
      </c>
      <c r="G27" s="346">
        <f ca="1">SUM(G17:G26)</f>
        <v>-246868651.53268898</v>
      </c>
      <c r="H27" s="345">
        <f ca="1">SUM(H17:H26)</f>
        <v>-78319988.010896325</v>
      </c>
      <c r="I27" s="345">
        <f t="shared" ref="I27:O27" si="5">SUM(I17:I26)</f>
        <v>0</v>
      </c>
      <c r="J27" s="345">
        <f t="shared" si="5"/>
        <v>0</v>
      </c>
      <c r="K27" s="345">
        <f t="shared" si="5"/>
        <v>0</v>
      </c>
      <c r="L27" s="345">
        <f t="shared" si="5"/>
        <v>0</v>
      </c>
      <c r="M27" s="345">
        <f t="shared" si="5"/>
        <v>0</v>
      </c>
      <c r="N27" s="345">
        <f t="shared" si="5"/>
        <v>0</v>
      </c>
      <c r="O27" s="345">
        <f t="shared" si="5"/>
        <v>0</v>
      </c>
    </row>
    <row r="28" spans="2:15" s="111" customFormat="1" ht="11.25" customHeight="1">
      <c r="B28" s="109"/>
      <c r="C28" s="109"/>
      <c r="D28" s="110"/>
      <c r="E28" s="328"/>
      <c r="G28" s="329"/>
      <c r="M28" s="112"/>
      <c r="N28" s="112"/>
    </row>
    <row r="29" spans="2:15" ht="11.25" customHeight="1">
      <c r="B29" s="170" t="s">
        <v>333</v>
      </c>
      <c r="C29" s="170"/>
      <c r="D29" s="113"/>
      <c r="E29" s="332"/>
      <c r="F29" s="333"/>
      <c r="G29" s="333"/>
      <c r="H29" s="333"/>
      <c r="I29" s="333"/>
      <c r="J29" s="333"/>
      <c r="K29" s="333"/>
      <c r="L29" s="333"/>
      <c r="M29" s="334"/>
      <c r="N29" s="334"/>
      <c r="O29" s="334"/>
    </row>
    <row r="30" spans="2:15" ht="11.25" customHeight="1">
      <c r="B30" s="445" t="s">
        <v>334</v>
      </c>
      <c r="C30" s="445"/>
      <c r="D30" s="99"/>
      <c r="E30" s="342">
        <f t="shared" ref="E30:O30" si="6">E12</f>
        <v>0</v>
      </c>
      <c r="F30" s="342">
        <f t="shared" si="6"/>
        <v>0</v>
      </c>
      <c r="G30" s="342">
        <f t="shared" si="6"/>
        <v>0</v>
      </c>
      <c r="H30" s="342">
        <f t="shared" ca="1" si="6"/>
        <v>16076119.00901442</v>
      </c>
      <c r="I30" s="342">
        <f t="shared" ca="1" si="6"/>
        <v>18232624.799760431</v>
      </c>
      <c r="J30" s="342">
        <f t="shared" ca="1" si="6"/>
        <v>19118131.239168469</v>
      </c>
      <c r="K30" s="342">
        <f t="shared" ca="1" si="6"/>
        <v>20028574.134034142</v>
      </c>
      <c r="L30" s="342">
        <f t="shared" ca="1" si="6"/>
        <v>20964594.475243311</v>
      </c>
      <c r="M30" s="342">
        <f t="shared" ca="1" si="6"/>
        <v>21926846.570234869</v>
      </c>
      <c r="N30" s="342">
        <f t="shared" ca="1" si="6"/>
        <v>22915998.133415308</v>
      </c>
      <c r="O30" s="342">
        <f t="shared" ca="1" si="6"/>
        <v>23932730.36344862</v>
      </c>
    </row>
    <row r="31" spans="2:15" ht="11.25" customHeight="1">
      <c r="B31" s="407"/>
      <c r="C31" s="407" t="s">
        <v>335</v>
      </c>
      <c r="D31" s="335"/>
      <c r="E31" s="350"/>
      <c r="F31" s="350"/>
      <c r="G31" s="350"/>
      <c r="H31" s="342"/>
      <c r="I31" s="342"/>
      <c r="J31" s="342"/>
      <c r="K31" s="342"/>
      <c r="L31" s="342"/>
      <c r="M31" s="342"/>
      <c r="N31" s="342">
        <f ca="1">IF(N4&gt;Assumptions!$C$65,'Summary Board PH2'!O30/Assumptions!$D$75)</f>
        <v>435140552.06270218</v>
      </c>
      <c r="O31" s="343">
        <v>0</v>
      </c>
    </row>
    <row r="32" spans="2:15" ht="11.25" customHeight="1">
      <c r="B32" s="312"/>
      <c r="C32" s="407" t="s">
        <v>336</v>
      </c>
      <c r="D32" s="336"/>
      <c r="E32" s="342"/>
      <c r="F32" s="343"/>
      <c r="G32" s="343"/>
      <c r="H32" s="342"/>
      <c r="I32" s="342"/>
      <c r="J32" s="342"/>
      <c r="K32" s="342"/>
      <c r="L32" s="342"/>
      <c r="M32" s="342"/>
      <c r="N32" s="342">
        <f ca="1">Assumptions!$D$76*N31</f>
        <v>4351405.5206270218</v>
      </c>
      <c r="O32" s="343">
        <v>0</v>
      </c>
    </row>
    <row r="33" spans="2:16" ht="11.25" customHeight="1">
      <c r="B33" s="445" t="s">
        <v>332</v>
      </c>
      <c r="C33" s="445"/>
      <c r="D33" s="339"/>
      <c r="E33" s="342">
        <f>E27</f>
        <v>0</v>
      </c>
      <c r="F33" s="342">
        <f>F27</f>
        <v>0</v>
      </c>
      <c r="G33" s="342">
        <f ca="1">G27</f>
        <v>-246868651.53268898</v>
      </c>
      <c r="H33" s="342">
        <f ca="1">H27</f>
        <v>-78319988.010896325</v>
      </c>
      <c r="I33" s="342">
        <f t="shared" ref="I33:N33" si="7">I27</f>
        <v>0</v>
      </c>
      <c r="J33" s="342">
        <f t="shared" si="7"/>
        <v>0</v>
      </c>
      <c r="K33" s="342">
        <f t="shared" si="7"/>
        <v>0</v>
      </c>
      <c r="L33" s="342">
        <f t="shared" si="7"/>
        <v>0</v>
      </c>
      <c r="M33" s="342">
        <f t="shared" si="7"/>
        <v>0</v>
      </c>
      <c r="N33" s="342">
        <f t="shared" si="7"/>
        <v>0</v>
      </c>
      <c r="O33" s="343">
        <v>0</v>
      </c>
    </row>
    <row r="34" spans="2:16" ht="11.25" customHeight="1">
      <c r="B34" s="114" t="s">
        <v>142</v>
      </c>
      <c r="C34" s="115"/>
      <c r="D34" s="93"/>
      <c r="E34" s="345">
        <f t="shared" ref="E34:N34" si="8">E33+E30+E31-E32</f>
        <v>0</v>
      </c>
      <c r="F34" s="345">
        <f t="shared" si="8"/>
        <v>0</v>
      </c>
      <c r="G34" s="345">
        <f t="shared" ca="1" si="8"/>
        <v>-246868651.53268898</v>
      </c>
      <c r="H34" s="346">
        <f t="shared" ca="1" si="8"/>
        <v>-62243869.001881905</v>
      </c>
      <c r="I34" s="346">
        <f t="shared" ca="1" si="8"/>
        <v>18232624.799760431</v>
      </c>
      <c r="J34" s="346">
        <f t="shared" ca="1" si="8"/>
        <v>19118131.239168469</v>
      </c>
      <c r="K34" s="346">
        <f t="shared" ca="1" si="8"/>
        <v>20028574.134034142</v>
      </c>
      <c r="L34" s="346">
        <f t="shared" ca="1" si="8"/>
        <v>20964594.475243311</v>
      </c>
      <c r="M34" s="356">
        <f t="shared" ca="1" si="8"/>
        <v>21926846.570234869</v>
      </c>
      <c r="N34" s="356">
        <f t="shared" ca="1" si="8"/>
        <v>453705144.67549044</v>
      </c>
      <c r="O34" s="346">
        <v>0</v>
      </c>
    </row>
    <row r="35" spans="2:16" ht="11.25" customHeight="1">
      <c r="B35" s="114" t="s">
        <v>337</v>
      </c>
      <c r="C35" s="115"/>
      <c r="D35" s="93"/>
      <c r="E35" s="366">
        <f>E30+E31-E32+E33+E36</f>
        <v>0</v>
      </c>
      <c r="F35" s="366">
        <f>F30+F31-F32+F33+F36</f>
        <v>0</v>
      </c>
      <c r="G35" s="366">
        <f ca="1">G30+G31-G32+G33+G36+L69</f>
        <v>-36366845.101249099</v>
      </c>
      <c r="H35" s="366">
        <f t="shared" ref="H35:N35" ca="1" si="9">H30+H31-H32+H33+H36</f>
        <v>-75489183.79562512</v>
      </c>
      <c r="I35" s="366">
        <f t="shared" ca="1" si="9"/>
        <v>4987310.0060172174</v>
      </c>
      <c r="J35" s="366">
        <f t="shared" ca="1" si="9"/>
        <v>5872816.4454252552</v>
      </c>
      <c r="K35" s="366">
        <f t="shared" ca="1" si="9"/>
        <v>6783259.3402909283</v>
      </c>
      <c r="L35" s="366">
        <f t="shared" ca="1" si="9"/>
        <v>7719279.6815000977</v>
      </c>
      <c r="M35" s="366">
        <f t="shared" ca="1" si="9"/>
        <v>8681531.776491655</v>
      </c>
      <c r="N35" s="366">
        <f t="shared" ca="1" si="9"/>
        <v>260639962.3759492</v>
      </c>
      <c r="O35" s="346">
        <v>0</v>
      </c>
    </row>
    <row r="36" spans="2:16" ht="11.25" customHeight="1">
      <c r="B36" s="114" t="s">
        <v>338</v>
      </c>
      <c r="C36" s="115"/>
      <c r="D36" s="93"/>
      <c r="E36" s="346">
        <f>'Phase I - CF MF Market Rental'!G78+'Phase I - CF Commercial'!G79+'Phase I - CF Civic'!G79+'Phase I - CF Retail'!G81</f>
        <v>0</v>
      </c>
      <c r="F36" s="346"/>
      <c r="G36" s="346"/>
      <c r="H36" s="346">
        <f ca="1">'Phase II - CF MF Market Rental'!I78+'Phase II - CF Affordable Rent'!I77+'Phase II - CF Commercial'!I79+'Phase II - CF Retail'!I81+'Phase II - CF Civic'!I79+'Phase II - CF Hotel'!I87</f>
        <v>-13245314.793743214</v>
      </c>
      <c r="I36" s="346">
        <f ca="1">'Phase II - CF MF Market Rental'!J78+'Phase II - CF Affordable Rent'!J77+'Phase II - CF Commercial'!J79+'Phase II - CF Retail'!J81+'Phase II - CF Civic'!J79+'Phase II - CF Hotel'!J87</f>
        <v>-13245314.793743214</v>
      </c>
      <c r="J36" s="346">
        <f ca="1">'Phase II - CF MF Market Rental'!K78+'Phase II - CF Affordable Rent'!K77+'Phase II - CF Commercial'!K79+'Phase II - CF Retail'!K81+'Phase II - CF Civic'!K79+'Phase II - CF Hotel'!K87</f>
        <v>-13245314.793743214</v>
      </c>
      <c r="K36" s="346">
        <f ca="1">'Phase II - CF MF Market Rental'!L78+'Phase II - CF Affordable Rent'!L77+'Phase II - CF Commercial'!L79+'Phase II - CF Retail'!L81+'Phase II - CF Civic'!L79+'Phase II - CF Hotel'!L87</f>
        <v>-13245314.793743214</v>
      </c>
      <c r="L36" s="346">
        <f ca="1">'Phase II - CF MF Market Rental'!M78+'Phase II - CF Affordable Rent'!M77+'Phase II - CF Commercial'!M79+'Phase II - CF Retail'!M81+'Phase II - CF Civic'!M79+'Phase II - CF Hotel'!M87</f>
        <v>-13245314.793743214</v>
      </c>
      <c r="M36" s="346">
        <f ca="1">'Phase II - CF MF Market Rental'!N78+'Phase II - CF Affordable Rent'!N77+'Phase II - CF Commercial'!N79+'Phase II - CF Retail'!N81+'Phase II - CF Civic'!N79+'Phase II - CF Hotel'!N87</f>
        <v>-13245314.793743214</v>
      </c>
      <c r="N36" s="346">
        <f ca="1">'Phase II - CF MF Market Rental'!O78+'Phase II - CF Affordable Rent'!O77+'Phase II - CF Commercial'!O79+'Phase II - CF Retail'!O81+'Phase II - CF Civic'!O79+'Phase II - CF Hotel'!O87</f>
        <v>-193065182.29954123</v>
      </c>
      <c r="O36" s="346">
        <v>0</v>
      </c>
    </row>
    <row r="37" spans="2:16" ht="11.25" customHeight="1">
      <c r="B37" s="116" t="s">
        <v>339</v>
      </c>
      <c r="C37" s="116"/>
      <c r="D37" s="414">
        <f ca="1">NPV(Assumptions!D77,'Summary Board PH2'!F14:N14)+(SUM('Summary Board PH2'!E27:N27))</f>
        <v>-10724704.911827028</v>
      </c>
      <c r="E37" s="117"/>
      <c r="F37" s="409"/>
      <c r="G37" s="409"/>
      <c r="I37" s="409"/>
      <c r="J37" s="409"/>
      <c r="K37" s="409"/>
      <c r="L37" s="409"/>
      <c r="M37" s="313"/>
      <c r="N37" s="313"/>
      <c r="O37" s="409"/>
    </row>
    <row r="38" spans="2:16" ht="11.25" customHeight="1">
      <c r="B38" s="114" t="s">
        <v>340</v>
      </c>
      <c r="C38" s="118"/>
      <c r="D38" s="365">
        <f ca="1">L70/J40</f>
        <v>0.48375589320185292</v>
      </c>
      <c r="E38" s="101"/>
      <c r="F38" s="171"/>
      <c r="G38" s="171"/>
      <c r="H38" s="116"/>
      <c r="I38" s="171"/>
      <c r="J38" s="171"/>
      <c r="K38" s="171"/>
      <c r="L38" s="171"/>
      <c r="M38" s="92"/>
      <c r="N38" s="357"/>
      <c r="O38" s="171"/>
    </row>
    <row r="39" spans="2:16" ht="11.25" customHeight="1">
      <c r="B39" s="118" t="s">
        <v>341</v>
      </c>
      <c r="C39" s="118"/>
      <c r="D39" s="364">
        <f ca="1">IRR(E34:N34)</f>
        <v>9.8735514209795872E-2</v>
      </c>
      <c r="E39" s="101"/>
      <c r="F39" s="171"/>
      <c r="G39" s="119" t="s">
        <v>342</v>
      </c>
      <c r="H39" s="409"/>
      <c r="I39" s="120"/>
      <c r="J39" s="337">
        <f ca="1">Parcels!G48+Parcels!G50</f>
        <v>23274492.481249999</v>
      </c>
      <c r="K39" s="171"/>
      <c r="L39" s="171"/>
      <c r="M39" s="315"/>
      <c r="N39" s="315"/>
      <c r="O39" s="171"/>
    </row>
    <row r="40" spans="2:16" ht="11.25" customHeight="1">
      <c r="B40" s="118" t="s">
        <v>343</v>
      </c>
      <c r="C40" s="118"/>
      <c r="D40" s="364">
        <f ca="1">IRR(E35:N35)</f>
        <v>0.17741693848552242</v>
      </c>
      <c r="E40" s="101"/>
      <c r="F40" s="171"/>
      <c r="G40" s="121" t="s">
        <v>344</v>
      </c>
      <c r="H40" s="171"/>
      <c r="I40" s="122"/>
      <c r="J40" s="338">
        <f ca="1">N31</f>
        <v>435140552.06270218</v>
      </c>
      <c r="K40" s="171"/>
      <c r="L40" s="171"/>
      <c r="M40" s="315"/>
      <c r="N40" s="315"/>
      <c r="O40" s="171"/>
    </row>
    <row r="41" spans="2:16" ht="11.25" customHeight="1">
      <c r="N41" s="123"/>
      <c r="O41" s="124"/>
    </row>
    <row r="42" spans="2:16" s="91" customFormat="1" ht="11.25" customHeight="1">
      <c r="B42" s="447" t="s">
        <v>345</v>
      </c>
      <c r="C42" s="447"/>
      <c r="D42" s="448"/>
      <c r="E42" s="449"/>
      <c r="F42" s="449"/>
      <c r="G42" s="449"/>
      <c r="H42" s="449"/>
      <c r="I42" s="449"/>
      <c r="J42" s="449"/>
      <c r="K42" s="449"/>
      <c r="L42" s="449"/>
      <c r="M42" s="449"/>
      <c r="N42" s="449"/>
      <c r="O42" s="449"/>
    </row>
    <row r="43" spans="2:16" ht="11.25" customHeight="1">
      <c r="E43" s="98" t="s">
        <v>346</v>
      </c>
      <c r="F43" s="165"/>
      <c r="G43" s="165"/>
      <c r="H43" s="165"/>
      <c r="I43" s="165"/>
      <c r="J43" s="165"/>
      <c r="K43" s="165"/>
      <c r="L43" s="165"/>
      <c r="M43" s="165"/>
      <c r="N43" s="165"/>
      <c r="O43" s="165"/>
    </row>
    <row r="44" spans="2:16" s="103" customFormat="1" ht="11.25" customHeight="1">
      <c r="B44" s="93"/>
      <c r="C44" s="93"/>
      <c r="D44" s="115" t="s">
        <v>347</v>
      </c>
      <c r="E44" s="95">
        <v>2020</v>
      </c>
      <c r="F44" s="94">
        <f t="shared" ref="F44:L44" si="10">E44+1</f>
        <v>2021</v>
      </c>
      <c r="G44" s="94">
        <f t="shared" si="10"/>
        <v>2022</v>
      </c>
      <c r="H44" s="94">
        <f t="shared" si="10"/>
        <v>2023</v>
      </c>
      <c r="I44" s="367">
        <f t="shared" si="10"/>
        <v>2024</v>
      </c>
      <c r="J44" s="367">
        <f t="shared" si="10"/>
        <v>2025</v>
      </c>
      <c r="K44" s="368">
        <f t="shared" si="10"/>
        <v>2026</v>
      </c>
      <c r="L44" s="368">
        <f t="shared" si="10"/>
        <v>2027</v>
      </c>
      <c r="M44" s="368">
        <f>L44+1</f>
        <v>2028</v>
      </c>
      <c r="N44" s="368">
        <f>M44+1</f>
        <v>2029</v>
      </c>
    </row>
    <row r="45" spans="2:16" ht="11.25" customHeight="1">
      <c r="B45" s="96" t="s">
        <v>348</v>
      </c>
      <c r="C45" s="96"/>
      <c r="D45" s="125"/>
      <c r="E45" s="98"/>
      <c r="F45" s="165"/>
      <c r="G45" s="165"/>
      <c r="H45" s="165"/>
      <c r="I45" s="165"/>
      <c r="J45" s="165"/>
      <c r="K45" s="165"/>
      <c r="L45" s="165"/>
      <c r="M45" s="313"/>
      <c r="N45" s="313"/>
      <c r="O45" s="165"/>
    </row>
    <row r="46" spans="2:16" ht="11.25" customHeight="1">
      <c r="B46" s="321" t="s">
        <v>317</v>
      </c>
      <c r="C46" s="407" t="s">
        <v>318</v>
      </c>
      <c r="D46" s="99" t="s">
        <v>349</v>
      </c>
      <c r="E46" s="100"/>
      <c r="F46" s="178"/>
      <c r="G46" s="178"/>
      <c r="H46" s="178"/>
      <c r="I46" s="369"/>
      <c r="J46" s="369"/>
      <c r="K46" s="369">
        <f ca="1">'Phase II - CF MF Market Rental'!$G$17</f>
        <v>293</v>
      </c>
      <c r="L46" s="369">
        <f ca="1">'Phase II - CF MF Market Rental'!$G$17</f>
        <v>293</v>
      </c>
      <c r="M46" s="369">
        <f ca="1">'Phase II - CF MF Market Rental'!$G$17</f>
        <v>293</v>
      </c>
      <c r="N46" s="369">
        <f ca="1">'Phase II - CF MF Market Rental'!$G$17</f>
        <v>293</v>
      </c>
      <c r="O46" s="433"/>
    </row>
    <row r="47" spans="2:16" ht="11.25" customHeight="1">
      <c r="B47" s="321" t="s">
        <v>319</v>
      </c>
      <c r="C47" s="407" t="s">
        <v>318</v>
      </c>
      <c r="D47" s="99" t="s">
        <v>349</v>
      </c>
      <c r="E47" s="100"/>
      <c r="F47" s="178"/>
      <c r="G47" s="178"/>
      <c r="H47" s="178"/>
      <c r="I47" s="369"/>
      <c r="J47" s="369"/>
      <c r="K47" s="369">
        <f ca="1">'Phase II - CF Affordable Rent'!$G$17</f>
        <v>104</v>
      </c>
      <c r="L47" s="369">
        <f ca="1">'Phase II - CF Affordable Rent'!$G$17</f>
        <v>104</v>
      </c>
      <c r="M47" s="369">
        <f ca="1">'Phase II - CF Affordable Rent'!$G$17</f>
        <v>104</v>
      </c>
      <c r="N47" s="369">
        <f ca="1">'Phase II - CF Affordable Rent'!$G$17</f>
        <v>104</v>
      </c>
      <c r="O47" s="369"/>
      <c r="P47" s="425"/>
    </row>
    <row r="48" spans="2:16" ht="11.25" customHeight="1">
      <c r="B48" s="445" t="s">
        <v>377</v>
      </c>
      <c r="C48" s="445"/>
      <c r="D48" s="99" t="s">
        <v>349</v>
      </c>
      <c r="E48" s="100"/>
      <c r="F48" s="178"/>
      <c r="G48" s="178"/>
      <c r="H48" s="178"/>
      <c r="I48" s="369"/>
      <c r="J48" s="369"/>
      <c r="K48" s="369">
        <f ca="1">'Phase II - CF Retail'!$G$19</f>
        <v>37.324399999999997</v>
      </c>
      <c r="L48" s="369">
        <f ca="1">'Phase II - CF Retail'!$G$19</f>
        <v>37.324399999999997</v>
      </c>
      <c r="M48" s="369">
        <f ca="1">'Phase II - CF Retail'!$G$19</f>
        <v>37.324399999999997</v>
      </c>
      <c r="N48" s="369">
        <f ca="1">'Phase II - CF Retail'!$G$19</f>
        <v>37.324399999999997</v>
      </c>
      <c r="O48" s="178"/>
    </row>
    <row r="49" spans="2:15" ht="11.25" customHeight="1">
      <c r="B49" s="445" t="s">
        <v>322</v>
      </c>
      <c r="C49" s="445"/>
      <c r="D49" s="99" t="s">
        <v>350</v>
      </c>
      <c r="E49" s="100"/>
      <c r="F49" s="178"/>
      <c r="G49" s="178"/>
      <c r="H49" s="178"/>
      <c r="I49" s="369"/>
      <c r="J49" s="369"/>
      <c r="K49" s="369">
        <f ca="1">'Phase II - CF Hotel'!$G$20</f>
        <v>173</v>
      </c>
      <c r="L49" s="369">
        <f ca="1">'Phase II - CF Hotel'!$G$20</f>
        <v>173</v>
      </c>
      <c r="M49" s="369">
        <f ca="1">'Phase II - CF Hotel'!$G$20</f>
        <v>173</v>
      </c>
      <c r="N49" s="369">
        <f ca="1">'Phase II - CF Hotel'!$G$20</f>
        <v>173</v>
      </c>
      <c r="O49" s="178"/>
    </row>
    <row r="50" spans="2:15" ht="11.25" customHeight="1">
      <c r="B50" s="445" t="s">
        <v>323</v>
      </c>
      <c r="C50" s="445"/>
      <c r="D50" s="99" t="s">
        <v>351</v>
      </c>
      <c r="E50" s="100"/>
      <c r="F50" s="178"/>
      <c r="G50" s="178"/>
      <c r="H50" s="178"/>
      <c r="I50" s="369"/>
      <c r="J50" s="369"/>
      <c r="K50" s="369">
        <f ca="1">Assumptions!$T$21</f>
        <v>1093.2311111111112</v>
      </c>
      <c r="L50" s="369">
        <f ca="1">Assumptions!$T$21</f>
        <v>1093.2311111111112</v>
      </c>
      <c r="M50" s="369">
        <f ca="1">Assumptions!$T$21</f>
        <v>1093.2311111111112</v>
      </c>
      <c r="N50" s="369">
        <f ca="1">Assumptions!$T$21</f>
        <v>1093.2311111111112</v>
      </c>
      <c r="O50" s="178"/>
    </row>
    <row r="51" spans="2:15" ht="11.25" customHeight="1">
      <c r="B51" s="96" t="s">
        <v>352</v>
      </c>
      <c r="C51" s="96"/>
      <c r="D51" s="125"/>
      <c r="E51" s="98"/>
      <c r="F51" s="165"/>
      <c r="G51" s="165"/>
      <c r="H51" s="165"/>
      <c r="I51" s="369"/>
      <c r="J51" s="369"/>
      <c r="K51" s="369"/>
      <c r="L51" s="369"/>
      <c r="M51" s="369"/>
      <c r="N51" s="369"/>
      <c r="O51" s="165"/>
    </row>
    <row r="52" spans="2:15" ht="11.25" customHeight="1">
      <c r="B52" s="321" t="s">
        <v>317</v>
      </c>
      <c r="C52" s="407" t="s">
        <v>318</v>
      </c>
      <c r="D52" s="99" t="s">
        <v>353</v>
      </c>
      <c r="E52" s="100"/>
      <c r="F52" s="178"/>
      <c r="G52" s="178"/>
      <c r="H52" s="178"/>
      <c r="I52" s="369"/>
      <c r="J52" s="369"/>
      <c r="K52" s="369">
        <f ca="1">Assumptions!$P$16</f>
        <v>325781.39999999997</v>
      </c>
      <c r="L52" s="369">
        <f ca="1">Assumptions!$P$16</f>
        <v>325781.39999999997</v>
      </c>
      <c r="M52" s="369">
        <f ca="1">Assumptions!$P$16</f>
        <v>325781.39999999997</v>
      </c>
      <c r="N52" s="369">
        <f ca="1">Assumptions!$P$16</f>
        <v>325781.39999999997</v>
      </c>
      <c r="O52" s="178"/>
    </row>
    <row r="53" spans="2:15" ht="11.25" customHeight="1">
      <c r="B53" s="321" t="s">
        <v>319</v>
      </c>
      <c r="C53" s="407" t="s">
        <v>318</v>
      </c>
      <c r="D53" s="99" t="s">
        <v>353</v>
      </c>
      <c r="E53" s="100"/>
      <c r="F53" s="178"/>
      <c r="G53" s="178"/>
      <c r="H53" s="178"/>
      <c r="I53" s="369"/>
      <c r="J53" s="369"/>
      <c r="K53" s="369">
        <f ca="1">Assumptions!$P$17</f>
        <v>139620.6</v>
      </c>
      <c r="L53" s="369">
        <f ca="1">Assumptions!$P$17</f>
        <v>139620.6</v>
      </c>
      <c r="M53" s="369">
        <f ca="1">Assumptions!$P$17</f>
        <v>139620.6</v>
      </c>
      <c r="N53" s="369">
        <f ca="1">Assumptions!$P$17</f>
        <v>139620.6</v>
      </c>
      <c r="O53" s="178"/>
    </row>
    <row r="54" spans="2:15" ht="11.25" customHeight="1">
      <c r="B54" s="445" t="s">
        <v>320</v>
      </c>
      <c r="C54" s="445"/>
      <c r="D54" s="99" t="s">
        <v>353</v>
      </c>
      <c r="E54" s="100"/>
      <c r="F54" s="178"/>
      <c r="G54" s="178"/>
      <c r="H54" s="178"/>
      <c r="I54" s="369"/>
      <c r="J54" s="369"/>
      <c r="K54" s="369">
        <f ca="1">Assumptions!$P$15</f>
        <v>266228</v>
      </c>
      <c r="L54" s="369">
        <f ca="1">Assumptions!$P$15</f>
        <v>266228</v>
      </c>
      <c r="M54" s="369">
        <f ca="1">Assumptions!$P$15</f>
        <v>266228</v>
      </c>
      <c r="N54" s="369">
        <f ca="1">Assumptions!$P$15</f>
        <v>266228</v>
      </c>
      <c r="O54" s="178"/>
    </row>
    <row r="55" spans="2:15" ht="11.25" customHeight="1">
      <c r="B55" s="407"/>
      <c r="C55" s="407" t="s">
        <v>378</v>
      </c>
      <c r="D55" s="99" t="s">
        <v>353</v>
      </c>
      <c r="E55" s="100"/>
      <c r="F55" s="178"/>
      <c r="G55" s="178"/>
      <c r="H55" s="178"/>
      <c r="I55" s="369"/>
      <c r="J55" s="369"/>
      <c r="K55" s="369">
        <f ca="1">Assumptions!$P$19</f>
        <v>102246</v>
      </c>
      <c r="L55" s="369">
        <f ca="1">Assumptions!$P$19</f>
        <v>102246</v>
      </c>
      <c r="M55" s="369">
        <f ca="1">Assumptions!$P$19</f>
        <v>102246</v>
      </c>
      <c r="N55" s="369">
        <f ca="1">Assumptions!$P$19</f>
        <v>102246</v>
      </c>
      <c r="O55" s="178"/>
    </row>
    <row r="56" spans="2:15" ht="11.25" customHeight="1">
      <c r="B56" s="445" t="s">
        <v>321</v>
      </c>
      <c r="C56" s="445"/>
      <c r="D56" s="99" t="s">
        <v>353</v>
      </c>
      <c r="E56" s="100"/>
      <c r="F56" s="178"/>
      <c r="G56" s="178"/>
      <c r="H56" s="178"/>
      <c r="I56" s="369"/>
      <c r="J56" s="369"/>
      <c r="K56" s="369">
        <f ca="1">Assumptions!$P$18</f>
        <v>186622</v>
      </c>
      <c r="L56" s="369">
        <f ca="1">Assumptions!$P$18</f>
        <v>186622</v>
      </c>
      <c r="M56" s="369">
        <f ca="1">Assumptions!$P$18</f>
        <v>186622</v>
      </c>
      <c r="N56" s="369">
        <f ca="1">Assumptions!$P$18</f>
        <v>186622</v>
      </c>
      <c r="O56" s="178"/>
    </row>
    <row r="57" spans="2:15" ht="11.25" customHeight="1">
      <c r="B57" s="445" t="s">
        <v>322</v>
      </c>
      <c r="C57" s="445"/>
      <c r="D57" s="99" t="s">
        <v>353</v>
      </c>
      <c r="E57" s="100"/>
      <c r="F57" s="178"/>
      <c r="G57" s="178"/>
      <c r="H57" s="178"/>
      <c r="I57" s="369"/>
      <c r="J57" s="369"/>
      <c r="K57" s="369">
        <f ca="1">Assumptions!$P$20</f>
        <v>86675</v>
      </c>
      <c r="L57" s="369">
        <f ca="1">Assumptions!$P$20</f>
        <v>86675</v>
      </c>
      <c r="M57" s="369">
        <f ca="1">Assumptions!$P$20</f>
        <v>86675</v>
      </c>
      <c r="N57" s="369">
        <f ca="1">Assumptions!$P$20</f>
        <v>86675</v>
      </c>
      <c r="O57" s="178"/>
    </row>
    <row r="58" spans="2:15" ht="11.25" customHeight="1">
      <c r="B58" s="445" t="s">
        <v>323</v>
      </c>
      <c r="C58" s="445"/>
      <c r="D58" s="99" t="s">
        <v>353</v>
      </c>
      <c r="E58" s="100"/>
      <c r="F58" s="178"/>
      <c r="G58" s="178"/>
      <c r="H58" s="178"/>
      <c r="I58" s="369"/>
      <c r="J58" s="369"/>
      <c r="K58" s="369">
        <f ca="1">Assumptions!$R$21</f>
        <v>245976.99999999997</v>
      </c>
      <c r="L58" s="369">
        <f ca="1">Assumptions!$R$21</f>
        <v>245976.99999999997</v>
      </c>
      <c r="M58" s="369">
        <f ca="1">Assumptions!$R$21</f>
        <v>245976.99999999997</v>
      </c>
      <c r="N58" s="369">
        <f ca="1">Assumptions!$R$21</f>
        <v>245976.99999999997</v>
      </c>
      <c r="O58" s="178"/>
    </row>
    <row r="59" spans="2:15" ht="11.25" customHeight="1">
      <c r="B59" s="457" t="s">
        <v>37</v>
      </c>
      <c r="C59" s="457"/>
      <c r="D59" s="93" t="s">
        <v>353</v>
      </c>
      <c r="E59" s="126"/>
      <c r="F59" s="164"/>
      <c r="G59" s="164"/>
      <c r="H59" s="164"/>
      <c r="I59" s="370"/>
      <c r="J59" s="370"/>
      <c r="K59" s="370">
        <f t="shared" ref="K59:N59" ca="1" si="11">SUM(K52:K58)</f>
        <v>1353150</v>
      </c>
      <c r="L59" s="370">
        <f t="shared" ca="1" si="11"/>
        <v>1353150</v>
      </c>
      <c r="M59" s="370">
        <f t="shared" ca="1" si="11"/>
        <v>1353150</v>
      </c>
      <c r="N59" s="370">
        <f t="shared" ca="1" si="11"/>
        <v>1353150</v>
      </c>
      <c r="O59" s="164"/>
    </row>
    <row r="60" spans="2:15" ht="11.25" customHeight="1"/>
    <row r="61" spans="2:15" s="91" customFormat="1" ht="11.25" customHeight="1">
      <c r="B61" s="458" t="s">
        <v>354</v>
      </c>
      <c r="C61" s="458"/>
      <c r="D61" s="448"/>
      <c r="E61" s="448"/>
      <c r="F61" s="448"/>
      <c r="G61" s="448"/>
      <c r="I61" s="447" t="s">
        <v>355</v>
      </c>
      <c r="J61" s="449"/>
      <c r="K61" s="449"/>
      <c r="L61" s="449"/>
      <c r="M61" s="449"/>
      <c r="N61" s="449"/>
      <c r="O61" s="449"/>
    </row>
    <row r="62" spans="2:15" s="127" customFormat="1" ht="11.25" customHeight="1">
      <c r="B62" s="461" t="s">
        <v>327</v>
      </c>
      <c r="C62" s="461"/>
      <c r="D62" s="452" t="s">
        <v>356</v>
      </c>
      <c r="E62" s="453"/>
      <c r="F62" s="452" t="s">
        <v>357</v>
      </c>
      <c r="G62" s="453"/>
      <c r="I62" s="454"/>
      <c r="J62" s="455"/>
      <c r="K62" s="455"/>
      <c r="L62" s="452" t="s">
        <v>358</v>
      </c>
      <c r="M62" s="452"/>
      <c r="N62" s="452" t="s">
        <v>359</v>
      </c>
      <c r="O62" s="453"/>
    </row>
    <row r="63" spans="2:15" ht="11.25" customHeight="1">
      <c r="B63" s="322" t="s">
        <v>317</v>
      </c>
      <c r="C63" s="168" t="str">
        <f>C17</f>
        <v>Rental Housing</v>
      </c>
      <c r="D63" s="353">
        <f ca="1">F63/N46</f>
        <v>282025.01676285325</v>
      </c>
      <c r="E63" s="313" t="s">
        <v>360</v>
      </c>
      <c r="F63" s="460">
        <f t="shared" ref="F63:F69" ca="1" si="12">-(SUM(E17:N17))</f>
        <v>82633329.911515996</v>
      </c>
      <c r="G63" s="460"/>
      <c r="I63" s="169" t="s">
        <v>361</v>
      </c>
      <c r="J63" s="313"/>
      <c r="K63" s="313" t="s">
        <v>314</v>
      </c>
      <c r="L63" s="462"/>
      <c r="M63" s="462"/>
      <c r="N63" s="465">
        <f ca="1">L63/$L$79</f>
        <v>0</v>
      </c>
      <c r="O63" s="465"/>
    </row>
    <row r="64" spans="2:15" ht="11.25" customHeight="1">
      <c r="B64" s="321" t="s">
        <v>319</v>
      </c>
      <c r="C64" s="407" t="s">
        <v>318</v>
      </c>
      <c r="D64" s="353">
        <f ca="1">F64/N47</f>
        <v>340521.96392108244</v>
      </c>
      <c r="E64" s="312" t="s">
        <v>360</v>
      </c>
      <c r="F64" s="459">
        <f t="shared" ca="1" si="12"/>
        <v>35414284.247792572</v>
      </c>
      <c r="G64" s="459"/>
      <c r="I64" s="316"/>
      <c r="J64" s="312"/>
      <c r="K64" s="320" t="s">
        <v>393</v>
      </c>
      <c r="L64" s="463">
        <f ca="1">'Phase II - CF MF Market Rental'!R28+'Phase II - CF Affordable Rent'!R28+'Phase II - CF Commercial'!R23+'Phase II - CF Retail'!R23+'Phase II - CF Civic'!R23+'Phase II - CF Hotel'!L23</f>
        <v>108778491.76660937</v>
      </c>
      <c r="M64" s="463"/>
      <c r="N64" s="466">
        <f ca="1">L64/$L$79</f>
        <v>0.33450889280537027</v>
      </c>
      <c r="O64" s="466"/>
    </row>
    <row r="65" spans="2:15" ht="11.25" customHeight="1">
      <c r="C65" s="407" t="s">
        <v>320</v>
      </c>
      <c r="D65" s="353">
        <f ca="1">F65/N54</f>
        <v>238.37154792162696</v>
      </c>
      <c r="E65" s="312" t="s">
        <v>362</v>
      </c>
      <c r="F65" s="459">
        <f t="shared" ca="1" si="12"/>
        <v>63461180.460078903</v>
      </c>
      <c r="G65" s="459"/>
      <c r="I65" s="316"/>
      <c r="J65" s="312"/>
      <c r="K65" s="391" t="s">
        <v>37</v>
      </c>
      <c r="L65" s="464">
        <f ca="1">SUM(L63:M64)</f>
        <v>108778491.76660937</v>
      </c>
      <c r="M65" s="464"/>
      <c r="N65" s="467">
        <f ca="1">L65/$L$79</f>
        <v>0.33450889280537027</v>
      </c>
      <c r="O65" s="467"/>
    </row>
    <row r="66" spans="2:15" ht="11.25" customHeight="1">
      <c r="B66" s="407"/>
      <c r="C66" s="407" t="s">
        <v>378</v>
      </c>
      <c r="D66" s="353">
        <f ca="1">F66/N55</f>
        <v>197.5650963896704</v>
      </c>
      <c r="E66" s="312" t="s">
        <v>362</v>
      </c>
      <c r="F66" s="459">
        <f t="shared" ca="1" si="12"/>
        <v>20200240.845458239</v>
      </c>
      <c r="G66" s="459"/>
      <c r="I66" s="318"/>
      <c r="J66" s="319"/>
      <c r="K66" s="319"/>
      <c r="L66" s="341"/>
      <c r="M66" s="341"/>
      <c r="N66" s="359"/>
      <c r="O66" s="319"/>
    </row>
    <row r="67" spans="2:15" ht="11.25" customHeight="1">
      <c r="C67" s="407" t="s">
        <v>328</v>
      </c>
      <c r="D67" s="353">
        <f ca="1">F67/N56</f>
        <v>243.42691272488167</v>
      </c>
      <c r="E67" s="312" t="s">
        <v>362</v>
      </c>
      <c r="F67" s="459">
        <f t="shared" ca="1" si="12"/>
        <v>45428817.306542866</v>
      </c>
      <c r="G67" s="459"/>
      <c r="I67" s="340"/>
      <c r="J67" s="341"/>
      <c r="K67" s="341"/>
      <c r="L67" s="315"/>
      <c r="M67" s="315"/>
      <c r="N67" s="362"/>
      <c r="O67" s="315"/>
    </row>
    <row r="68" spans="2:15" ht="11.25" customHeight="1">
      <c r="C68" s="407" t="s">
        <v>322</v>
      </c>
      <c r="D68" s="353">
        <f ca="1">F68/N49</f>
        <v>247634.00708946897</v>
      </c>
      <c r="E68" s="312" t="s">
        <v>364</v>
      </c>
      <c r="F68" s="459">
        <f t="shared" ca="1" si="12"/>
        <v>42840683.22647813</v>
      </c>
      <c r="G68" s="459"/>
      <c r="I68" s="317" t="s">
        <v>363</v>
      </c>
      <c r="J68" s="313"/>
      <c r="K68" s="313" t="s">
        <v>314</v>
      </c>
      <c r="L68" s="462"/>
      <c r="M68" s="462"/>
      <c r="N68" s="465">
        <f ca="1">L68/$L$79</f>
        <v>0</v>
      </c>
      <c r="O68" s="465"/>
    </row>
    <row r="69" spans="2:15" ht="11.25" customHeight="1">
      <c r="C69" s="407" t="s">
        <v>323</v>
      </c>
      <c r="D69" s="353">
        <f ca="1">F69/N50</f>
        <v>11999.999999999998</v>
      </c>
      <c r="E69" s="312" t="s">
        <v>439</v>
      </c>
      <c r="F69" s="459">
        <f t="shared" ca="1" si="12"/>
        <v>13118773.333333332</v>
      </c>
      <c r="G69" s="459"/>
      <c r="I69" s="312"/>
      <c r="J69" s="312"/>
      <c r="K69" s="312" t="s">
        <v>393</v>
      </c>
      <c r="L69" s="463">
        <f ca="1">'Phase II - CF MF Market Rental'!R29+'Phase II - CF Affordable Rent'!R30+'Phase II - CF Commercial'!R22+'Phase II - CF Retail'!R22+'Phase II - CF Civic'!R22+'Phase II - CF Hotel'!L22</f>
        <v>210501806.43143988</v>
      </c>
      <c r="M69" s="463"/>
      <c r="N69" s="466">
        <f ca="1">L69/$L$79</f>
        <v>0.64732214116362496</v>
      </c>
      <c r="O69" s="466"/>
    </row>
    <row r="70" spans="2:15" ht="11.25" customHeight="1">
      <c r="G70" s="312"/>
      <c r="I70" s="312"/>
      <c r="J70" s="312"/>
      <c r="K70" s="391" t="s">
        <v>37</v>
      </c>
      <c r="L70" s="464">
        <f ca="1">SUM(L68:M69)</f>
        <v>210501806.43143988</v>
      </c>
      <c r="M70" s="464"/>
      <c r="N70" s="467">
        <f ca="1">L70/L79</f>
        <v>0.64732214116362496</v>
      </c>
      <c r="O70" s="467"/>
    </row>
    <row r="71" spans="2:15" ht="11.25" customHeight="1">
      <c r="B71" s="170" t="s">
        <v>365</v>
      </c>
      <c r="C71" s="170"/>
      <c r="D71" s="456" t="s">
        <v>366</v>
      </c>
      <c r="E71" s="456"/>
      <c r="F71" s="456" t="s">
        <v>367</v>
      </c>
      <c r="G71" s="456"/>
      <c r="I71" s="312"/>
      <c r="J71" s="312"/>
      <c r="K71" s="312"/>
      <c r="L71" s="314"/>
      <c r="M71" s="314"/>
      <c r="N71" s="360"/>
      <c r="O71" s="312"/>
    </row>
    <row r="72" spans="2:15" ht="11.25" customHeight="1">
      <c r="B72" s="178"/>
      <c r="C72" s="407" t="s">
        <v>368</v>
      </c>
      <c r="D72" s="450">
        <v>0</v>
      </c>
      <c r="E72" s="450"/>
      <c r="F72" s="450">
        <v>0</v>
      </c>
      <c r="G72" s="450"/>
      <c r="I72" s="312"/>
      <c r="J72" s="312"/>
      <c r="K72" s="312"/>
      <c r="L72" s="311"/>
      <c r="M72" s="311"/>
      <c r="N72" s="358"/>
      <c r="O72" s="320"/>
    </row>
    <row r="73" spans="2:15" ht="11.25" customHeight="1">
      <c r="B73" s="178"/>
      <c r="C73" s="407" t="s">
        <v>119</v>
      </c>
      <c r="D73" s="451">
        <v>0</v>
      </c>
      <c r="E73" s="451"/>
      <c r="F73" s="451">
        <v>0</v>
      </c>
      <c r="G73" s="451"/>
      <c r="I73" s="317" t="s">
        <v>369</v>
      </c>
      <c r="J73" s="313"/>
      <c r="K73" s="313" t="s">
        <v>314</v>
      </c>
      <c r="L73" s="462"/>
      <c r="M73" s="462"/>
      <c r="O73" s="361"/>
    </row>
    <row r="74" spans="2:15" ht="11.25" customHeight="1">
      <c r="B74" s="178"/>
      <c r="C74" s="407" t="s">
        <v>370</v>
      </c>
      <c r="D74" s="451">
        <v>0</v>
      </c>
      <c r="E74" s="451"/>
      <c r="F74" s="451">
        <v>0</v>
      </c>
      <c r="G74" s="451"/>
      <c r="I74" s="312"/>
      <c r="J74" s="312"/>
      <c r="K74" s="312" t="s">
        <v>393</v>
      </c>
      <c r="L74" s="463">
        <f ca="1">'Phase II - CF Affordable Rent'!R29</f>
        <v>5908341.3455360653</v>
      </c>
      <c r="M74" s="463"/>
      <c r="N74" s="466">
        <f ca="1">L74/$L$79</f>
        <v>1.8168966031004798E-2</v>
      </c>
      <c r="O74" s="466"/>
    </row>
    <row r="75" spans="2:15" ht="11.25" customHeight="1">
      <c r="B75" s="178"/>
      <c r="C75" s="407" t="s">
        <v>371</v>
      </c>
      <c r="D75" s="451">
        <v>0</v>
      </c>
      <c r="E75" s="451"/>
      <c r="F75" s="451">
        <v>0</v>
      </c>
      <c r="G75" s="451"/>
      <c r="I75" s="312"/>
      <c r="J75" s="312"/>
      <c r="K75" s="391" t="s">
        <v>37</v>
      </c>
      <c r="L75" s="464">
        <f ca="1">SUM(L73:M74)</f>
        <v>5908341.3455360653</v>
      </c>
      <c r="M75" s="464">
        <f ca="1">'Phase II - CF Affordable Rent'!R29</f>
        <v>5908341.3455360653</v>
      </c>
      <c r="N75" s="467">
        <f ca="1">M75/$L$79</f>
        <v>1.8168966031004798E-2</v>
      </c>
      <c r="O75" s="467"/>
    </row>
    <row r="76" spans="2:15" ht="11.25" customHeight="1">
      <c r="B76" s="164"/>
      <c r="C76" s="167" t="s">
        <v>329</v>
      </c>
      <c r="D76" s="451">
        <v>0</v>
      </c>
      <c r="E76" s="451"/>
      <c r="F76" s="459">
        <f ca="1">Parcels!G51</f>
        <v>11908687.5</v>
      </c>
      <c r="G76" s="459"/>
      <c r="I76" s="312"/>
      <c r="J76" s="312"/>
      <c r="K76" s="312"/>
      <c r="L76" s="356"/>
      <c r="M76" s="356"/>
      <c r="N76" s="314"/>
      <c r="O76" s="312"/>
    </row>
    <row r="77" spans="2:15" ht="11.25" customHeight="1">
      <c r="B77" s="118"/>
      <c r="C77" s="115" t="s">
        <v>372</v>
      </c>
      <c r="D77" s="470">
        <v>0</v>
      </c>
      <c r="E77" s="470"/>
      <c r="F77" s="471">
        <f ca="1">-(SUM(E26:N26))</f>
        <v>3219689.5004315376</v>
      </c>
      <c r="G77" s="471"/>
      <c r="I77" s="312"/>
      <c r="J77" s="312"/>
      <c r="K77" s="312"/>
      <c r="L77" s="408"/>
      <c r="M77" s="408"/>
      <c r="N77" s="312"/>
      <c r="O77" s="312"/>
    </row>
    <row r="78" spans="2:15" ht="11.25" customHeight="1">
      <c r="B78" s="118"/>
      <c r="C78" s="115" t="s">
        <v>373</v>
      </c>
      <c r="D78" s="472">
        <v>0</v>
      </c>
      <c r="E78" s="472"/>
      <c r="F78" s="473">
        <f ca="1">Assumptions!F52</f>
        <v>6962953.211953708</v>
      </c>
      <c r="G78" s="473"/>
      <c r="I78" s="312"/>
      <c r="J78" s="312"/>
      <c r="K78" s="312"/>
      <c r="L78" s="408"/>
      <c r="M78" s="408"/>
      <c r="N78" s="312"/>
      <c r="O78" s="312"/>
    </row>
    <row r="79" spans="2:15" ht="11.25" customHeight="1">
      <c r="B79" s="118"/>
      <c r="C79" s="115" t="s">
        <v>332</v>
      </c>
      <c r="D79" s="474">
        <f>SUM(D72:E78)</f>
        <v>0</v>
      </c>
      <c r="E79" s="474"/>
      <c r="F79" s="475">
        <f ca="1">SUM(F63:F69)+F76+F77+F78</f>
        <v>325188639.5435853</v>
      </c>
      <c r="G79" s="475"/>
      <c r="I79" s="468" t="s">
        <v>37</v>
      </c>
      <c r="J79" s="469"/>
      <c r="K79" s="469"/>
      <c r="L79" s="464">
        <f ca="1">L65+L70+L75</f>
        <v>325188639.5435853</v>
      </c>
      <c r="M79" s="464"/>
      <c r="N79" s="467">
        <f ca="1">N65+N70+N75</f>
        <v>1</v>
      </c>
      <c r="O79" s="467"/>
    </row>
    <row r="80" spans="2:15" ht="14" customHeight="1">
      <c r="F80" s="363"/>
      <c r="G80" s="350">
        <f ca="1">F79</f>
        <v>325188639.5435853</v>
      </c>
    </row>
    <row r="81" spans="6:13" ht="14" customHeight="1">
      <c r="F81" s="363"/>
      <c r="M81" s="350">
        <f ca="1">L65</f>
        <v>108778491.76660937</v>
      </c>
    </row>
    <row r="82" spans="6:13" ht="14" customHeight="1">
      <c r="F82" s="441" t="s">
        <v>469</v>
      </c>
      <c r="G82" s="350">
        <f ca="1">SUM(F63:G69)</f>
        <v>303097309.33120006</v>
      </c>
      <c r="M82" s="350">
        <f ca="1">L75</f>
        <v>5908341.3455360653</v>
      </c>
    </row>
    <row r="83" spans="6:13" ht="14" customHeight="1">
      <c r="F83" s="441" t="s">
        <v>187</v>
      </c>
      <c r="G83" s="350">
        <f ca="1">F78</f>
        <v>6962953.211953708</v>
      </c>
      <c r="M83" s="350">
        <f ca="1">L70</f>
        <v>210501806.43143988</v>
      </c>
    </row>
    <row r="84" spans="6:13" ht="14" customHeight="1">
      <c r="F84" s="441" t="s">
        <v>470</v>
      </c>
      <c r="G84" s="350">
        <f ca="1">F76</f>
        <v>11908687.5</v>
      </c>
    </row>
    <row r="85" spans="6:13" ht="14" customHeight="1">
      <c r="F85" s="441" t="s">
        <v>471</v>
      </c>
      <c r="G85" s="350">
        <f ca="1">F77</f>
        <v>3219689.5004315376</v>
      </c>
    </row>
  </sheetData>
  <mergeCells count="75">
    <mergeCell ref="B19:C19"/>
    <mergeCell ref="B8:C8"/>
    <mergeCell ref="B10:C10"/>
    <mergeCell ref="B11:C11"/>
    <mergeCell ref="B12:C12"/>
    <mergeCell ref="B13:C13"/>
    <mergeCell ref="B54:C54"/>
    <mergeCell ref="B21:C21"/>
    <mergeCell ref="B22:C22"/>
    <mergeCell ref="B23:C23"/>
    <mergeCell ref="B25:C25"/>
    <mergeCell ref="B27:C27"/>
    <mergeCell ref="B30:C30"/>
    <mergeCell ref="B33:C33"/>
    <mergeCell ref="B42:O42"/>
    <mergeCell ref="B48:C48"/>
    <mergeCell ref="B49:C49"/>
    <mergeCell ref="B50:C50"/>
    <mergeCell ref="N62:O62"/>
    <mergeCell ref="B56:C56"/>
    <mergeCell ref="B57:C57"/>
    <mergeCell ref="B58:C58"/>
    <mergeCell ref="B59:C59"/>
    <mergeCell ref="B61:G61"/>
    <mergeCell ref="I61:O61"/>
    <mergeCell ref="B62:C62"/>
    <mergeCell ref="D62:E62"/>
    <mergeCell ref="F62:G62"/>
    <mergeCell ref="I62:K62"/>
    <mergeCell ref="L62:M62"/>
    <mergeCell ref="F68:G68"/>
    <mergeCell ref="L68:M68"/>
    <mergeCell ref="N68:O68"/>
    <mergeCell ref="F63:G63"/>
    <mergeCell ref="L63:M63"/>
    <mergeCell ref="N63:O63"/>
    <mergeCell ref="F64:G64"/>
    <mergeCell ref="L64:M64"/>
    <mergeCell ref="N64:O64"/>
    <mergeCell ref="F65:G65"/>
    <mergeCell ref="L65:M65"/>
    <mergeCell ref="N65:O65"/>
    <mergeCell ref="F66:G66"/>
    <mergeCell ref="F67:G67"/>
    <mergeCell ref="N69:O69"/>
    <mergeCell ref="L70:M70"/>
    <mergeCell ref="N70:O70"/>
    <mergeCell ref="D71:E71"/>
    <mergeCell ref="F71:G71"/>
    <mergeCell ref="L73:M73"/>
    <mergeCell ref="D74:E74"/>
    <mergeCell ref="F74:G74"/>
    <mergeCell ref="L74:M74"/>
    <mergeCell ref="F69:G69"/>
    <mergeCell ref="L69:M69"/>
    <mergeCell ref="D76:E76"/>
    <mergeCell ref="F76:G76"/>
    <mergeCell ref="D72:E72"/>
    <mergeCell ref="F72:G72"/>
    <mergeCell ref="D73:E73"/>
    <mergeCell ref="F73:G73"/>
    <mergeCell ref="N74:O74"/>
    <mergeCell ref="D75:E75"/>
    <mergeCell ref="F75:G75"/>
    <mergeCell ref="L75:M75"/>
    <mergeCell ref="N75:O75"/>
    <mergeCell ref="I79:K79"/>
    <mergeCell ref="L79:M79"/>
    <mergeCell ref="N79:O79"/>
    <mergeCell ref="D77:E77"/>
    <mergeCell ref="F77:G77"/>
    <mergeCell ref="D78:E78"/>
    <mergeCell ref="F78:G78"/>
    <mergeCell ref="D79:E79"/>
    <mergeCell ref="F79:G79"/>
  </mergeCells>
  <pageMargins left="0.25" right="0.25" top="0.75" bottom="0.75" header="0.3" footer="0.3"/>
  <pageSetup paperSize="3" scale="87" orientation="landscape" r:id="rId1"/>
  <headerFooter alignWithMargins="0">
    <oddHeader>&amp;L&amp;"Arial,Bold"2021 ULI Hines Student Competition&amp;R2021-2414 Development Summary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48FEF-09F5-4904-BFE4-E8B613521DFD}">
  <sheetPr>
    <tabColor theme="9"/>
  </sheetPr>
  <dimension ref="A3:T93"/>
  <sheetViews>
    <sheetView showGridLines="0" view="pageBreakPreview" zoomScale="70" zoomScaleNormal="100" zoomScaleSheetLayoutView="70" workbookViewId="0">
      <selection activeCell="J8" sqref="J8"/>
    </sheetView>
  </sheetViews>
  <sheetFormatPr baseColWidth="10" defaultColWidth="12.5" defaultRowHeight="15"/>
  <cols>
    <col min="1" max="1" width="3.6640625" style="185" customWidth="1"/>
    <col min="2" max="2" width="1.83203125" style="185" customWidth="1"/>
    <col min="3" max="3" width="3.83203125" style="185" customWidth="1"/>
    <col min="4" max="4" width="6.5" style="185" bestFit="1" customWidth="1"/>
    <col min="5" max="5" width="12.5" style="185"/>
    <col min="6" max="6" width="16.6640625" style="185" bestFit="1" customWidth="1"/>
    <col min="7" max="7" width="17.5" style="185" bestFit="1" customWidth="1"/>
    <col min="8" max="16" width="14.6640625" style="185" bestFit="1" customWidth="1"/>
    <col min="17" max="17" width="15.5" style="185" bestFit="1" customWidth="1"/>
    <col min="18" max="18" width="15.6640625" style="185" bestFit="1" customWidth="1"/>
    <col min="19" max="19" width="15.33203125" style="184" bestFit="1" customWidth="1"/>
    <col min="20" max="20" width="12.6640625" style="184" bestFit="1" customWidth="1"/>
    <col min="21" max="16384" width="12.5" style="184"/>
  </cols>
  <sheetData>
    <row r="3" spans="1:18">
      <c r="D3" s="181" t="s">
        <v>41</v>
      </c>
      <c r="E3" s="181"/>
      <c r="F3" s="182" t="s">
        <v>425</v>
      </c>
      <c r="G3" s="182" t="s">
        <v>310</v>
      </c>
    </row>
    <row r="4" spans="1:18">
      <c r="D4" s="185" t="s">
        <v>186</v>
      </c>
      <c r="F4" s="186"/>
      <c r="G4" s="186">
        <f>Assumptions!U16</f>
        <v>7153921.25</v>
      </c>
    </row>
    <row r="5" spans="1:18">
      <c r="D5" s="185" t="s">
        <v>422</v>
      </c>
      <c r="F5" s="186">
        <f>Assumptions!E65</f>
        <v>220.56222205526404</v>
      </c>
      <c r="G5" s="186">
        <f ca="1">F5*$G$18</f>
        <v>71855069.488274783</v>
      </c>
    </row>
    <row r="6" spans="1:18">
      <c r="D6" s="185" t="s">
        <v>423</v>
      </c>
      <c r="F6" s="186">
        <f>Assumptions!G65</f>
        <v>33.084333308289608</v>
      </c>
      <c r="G6" s="186">
        <f ca="1">F6*$G$18</f>
        <v>10778260.423241219</v>
      </c>
    </row>
    <row r="7" spans="1:18">
      <c r="D7" s="185" t="s">
        <v>187</v>
      </c>
      <c r="F7" s="186"/>
      <c r="G7" s="186">
        <f ca="1">Assumptions!V16</f>
        <v>2048822.2215722161</v>
      </c>
    </row>
    <row r="8" spans="1:18">
      <c r="D8" s="185" t="s">
        <v>424</v>
      </c>
      <c r="F8" s="186">
        <f>Assumptions!E71</f>
        <v>12000</v>
      </c>
      <c r="G8" s="186">
        <f ca="1">F8*G25</f>
        <v>2776266.6666666665</v>
      </c>
    </row>
    <row r="9" spans="1:18">
      <c r="F9" s="188"/>
      <c r="G9" s="186"/>
    </row>
    <row r="10" spans="1:18">
      <c r="F10" s="187"/>
      <c r="G10" s="187"/>
    </row>
    <row r="11" spans="1:18">
      <c r="F11" s="187"/>
      <c r="G11" s="187"/>
    </row>
    <row r="12" spans="1:18">
      <c r="D12" s="304" t="s">
        <v>426</v>
      </c>
      <c r="E12" s="304"/>
      <c r="F12" s="305">
        <f ca="1">G12/G17</f>
        <v>322909.01040871977</v>
      </c>
      <c r="G12" s="305">
        <f ca="1">G4+G5+G6+G7+G8+G9</f>
        <v>94612340.049754888</v>
      </c>
    </row>
    <row r="13" spans="1:18">
      <c r="B13" s="190"/>
    </row>
    <row r="14" spans="1:18">
      <c r="B14" s="191" t="s">
        <v>0</v>
      </c>
    </row>
    <row r="16" spans="1:18">
      <c r="A16" s="185" t="s">
        <v>1</v>
      </c>
      <c r="B16" s="216" t="s">
        <v>2</v>
      </c>
      <c r="C16" s="216"/>
      <c r="D16" s="216"/>
      <c r="E16" s="216"/>
      <c r="F16" s="216"/>
      <c r="G16" s="216"/>
      <c r="I16" s="216" t="s">
        <v>3</v>
      </c>
      <c r="J16" s="216"/>
      <c r="K16" s="216"/>
      <c r="L16" s="216"/>
      <c r="M16" s="216"/>
      <c r="O16" s="216" t="s">
        <v>4</v>
      </c>
      <c r="P16" s="216"/>
      <c r="Q16" s="216"/>
      <c r="R16" s="216"/>
    </row>
    <row r="17" spans="2:18">
      <c r="B17" s="185" t="s">
        <v>5</v>
      </c>
      <c r="G17" s="217">
        <f ca="1">ROUNDDOWN(G20/G21,0)</f>
        <v>293</v>
      </c>
      <c r="I17" s="218" t="s">
        <v>6</v>
      </c>
      <c r="O17" s="185" t="s">
        <v>7</v>
      </c>
      <c r="R17" s="219">
        <f ca="1">MAX(G32:G34)</f>
        <v>61498021.032340676</v>
      </c>
    </row>
    <row r="18" spans="2:18">
      <c r="B18" s="185" t="s">
        <v>8</v>
      </c>
      <c r="F18" s="220"/>
      <c r="G18" s="392">
        <f ca="1">Assumptions!P16</f>
        <v>325781.39999999997</v>
      </c>
      <c r="I18" s="185" t="s">
        <v>9</v>
      </c>
      <c r="M18" s="221">
        <v>1800</v>
      </c>
      <c r="O18" s="185" t="s">
        <v>10</v>
      </c>
      <c r="R18" s="222">
        <v>4.4999999999999998E-2</v>
      </c>
    </row>
    <row r="19" spans="2:18">
      <c r="B19" s="185" t="s">
        <v>11</v>
      </c>
      <c r="G19" s="223">
        <v>0.9</v>
      </c>
      <c r="I19" s="185" t="s">
        <v>12</v>
      </c>
      <c r="M19" s="221">
        <v>2100</v>
      </c>
      <c r="O19" s="185" t="s">
        <v>13</v>
      </c>
      <c r="R19" s="224">
        <v>30</v>
      </c>
    </row>
    <row r="20" spans="2:18">
      <c r="B20" s="185" t="s">
        <v>14</v>
      </c>
      <c r="G20" s="225">
        <f ca="1">G18*G19</f>
        <v>293203.25999999995</v>
      </c>
      <c r="I20" s="185" t="s">
        <v>15</v>
      </c>
      <c r="M20" s="221">
        <v>2600</v>
      </c>
      <c r="O20" s="185" t="s">
        <v>16</v>
      </c>
      <c r="R20" s="219">
        <f ca="1">PMT(R18/12,R19*12,R17)</f>
        <v>-311601.4384045006</v>
      </c>
    </row>
    <row r="21" spans="2:18">
      <c r="B21" s="185" t="s">
        <v>17</v>
      </c>
      <c r="G21" s="226">
        <v>1000</v>
      </c>
      <c r="I21" s="185" t="s">
        <v>18</v>
      </c>
      <c r="M21" s="220">
        <v>0.05</v>
      </c>
    </row>
    <row r="22" spans="2:18">
      <c r="B22" s="185" t="s">
        <v>19</v>
      </c>
      <c r="E22" s="227"/>
      <c r="F22" s="227"/>
      <c r="G22" s="220">
        <v>0.2</v>
      </c>
      <c r="I22" s="185" t="s">
        <v>20</v>
      </c>
      <c r="M22" s="220">
        <v>0.03</v>
      </c>
      <c r="O22" s="185" t="s">
        <v>21</v>
      </c>
      <c r="R22" s="220">
        <v>0.65</v>
      </c>
    </row>
    <row r="23" spans="2:18">
      <c r="B23" s="185" t="s">
        <v>22</v>
      </c>
      <c r="G23" s="220">
        <v>0.5</v>
      </c>
      <c r="I23" s="185" t="s">
        <v>23</v>
      </c>
      <c r="M23" s="228">
        <v>6</v>
      </c>
      <c r="O23" s="185" t="s">
        <v>24</v>
      </c>
      <c r="R23" s="229">
        <v>1.2</v>
      </c>
    </row>
    <row r="24" spans="2:18">
      <c r="B24" s="185" t="s">
        <v>25</v>
      </c>
      <c r="G24" s="220">
        <v>0.3</v>
      </c>
      <c r="I24" s="185" t="s">
        <v>26</v>
      </c>
      <c r="M24" s="230">
        <f ca="1">G17/M23</f>
        <v>48.833333333333336</v>
      </c>
      <c r="N24" s="231">
        <f ca="1">G17/M23</f>
        <v>48.833333333333336</v>
      </c>
      <c r="O24" s="185" t="s">
        <v>27</v>
      </c>
      <c r="R24" s="220">
        <v>7.4999999999999997E-2</v>
      </c>
    </row>
    <row r="25" spans="2:18">
      <c r="B25" s="185" t="s">
        <v>28</v>
      </c>
      <c r="G25" s="232">
        <f ca="1">Assumptions!T16</f>
        <v>231.35555555555555</v>
      </c>
      <c r="I25" s="185" t="s">
        <v>29</v>
      </c>
      <c r="J25" s="400"/>
      <c r="M25" s="233">
        <v>0.25</v>
      </c>
      <c r="R25" s="220"/>
    </row>
    <row r="26" spans="2:18">
      <c r="G26" s="234"/>
      <c r="I26" s="185" t="s">
        <v>30</v>
      </c>
      <c r="M26" s="220">
        <v>0.02</v>
      </c>
      <c r="R26" s="221"/>
    </row>
    <row r="27" spans="2:18">
      <c r="G27" s="235"/>
      <c r="I27" s="185" t="s">
        <v>31</v>
      </c>
      <c r="L27" s="276">
        <v>0.32</v>
      </c>
      <c r="M27" s="393">
        <f>1.7529/100</f>
        <v>1.7528999999999999E-2</v>
      </c>
      <c r="O27" s="216" t="s">
        <v>32</v>
      </c>
      <c r="P27" s="216"/>
      <c r="Q27" s="216"/>
      <c r="R27" s="216"/>
    </row>
    <row r="28" spans="2:18">
      <c r="I28" s="185" t="s">
        <v>33</v>
      </c>
      <c r="M28" s="220">
        <v>0.02</v>
      </c>
      <c r="O28" s="185" t="s">
        <v>34</v>
      </c>
      <c r="Q28" s="236">
        <f ca="1">R28/R30</f>
        <v>0.35643564356435647</v>
      </c>
      <c r="R28" s="219">
        <f ca="1">R30-R29</f>
        <v>34060442.417911768</v>
      </c>
    </row>
    <row r="29" spans="2:18">
      <c r="I29" s="185" t="s">
        <v>35</v>
      </c>
      <c r="K29" s="237"/>
      <c r="M29" s="221">
        <v>1200</v>
      </c>
      <c r="O29" s="238" t="s">
        <v>7</v>
      </c>
      <c r="P29" s="238"/>
      <c r="Q29" s="239">
        <f ca="1">R29/R30</f>
        <v>0.64356435643564347</v>
      </c>
      <c r="R29" s="240">
        <f ca="1">R17</f>
        <v>61498021.032340676</v>
      </c>
    </row>
    <row r="30" spans="2:18">
      <c r="G30" s="241"/>
      <c r="I30" s="185" t="s">
        <v>36</v>
      </c>
      <c r="K30" s="237"/>
      <c r="M30" s="220">
        <v>0.05</v>
      </c>
      <c r="O30" s="185" t="s">
        <v>37</v>
      </c>
      <c r="R30" s="219">
        <f ca="1">R35</f>
        <v>95558463.450252444</v>
      </c>
    </row>
    <row r="31" spans="2:18">
      <c r="B31" s="216" t="s">
        <v>38</v>
      </c>
      <c r="C31" s="216"/>
      <c r="D31" s="216"/>
      <c r="E31" s="216"/>
      <c r="F31" s="216"/>
      <c r="G31" s="216"/>
      <c r="I31" s="185" t="s">
        <v>39</v>
      </c>
      <c r="K31" s="237"/>
      <c r="M31" s="399">
        <v>8</v>
      </c>
    </row>
    <row r="32" spans="2:18">
      <c r="B32" s="185" t="s">
        <v>21</v>
      </c>
      <c r="G32" s="242">
        <f ca="1">R22*R33</f>
        <v>61498021.032340676</v>
      </c>
      <c r="I32" s="185" t="s">
        <v>40</v>
      </c>
      <c r="K32" s="237"/>
      <c r="M32" s="220">
        <v>7.4999999999999997E-2</v>
      </c>
      <c r="O32" s="216" t="s">
        <v>41</v>
      </c>
      <c r="P32" s="216"/>
      <c r="Q32" s="216"/>
      <c r="R32" s="216"/>
    </row>
    <row r="33" spans="1:18">
      <c r="B33" s="185" t="s">
        <v>24</v>
      </c>
      <c r="G33" s="219">
        <f ca="1">H63/R24</f>
        <v>51587989.937187254</v>
      </c>
      <c r="I33" s="185" t="s">
        <v>42</v>
      </c>
      <c r="M33" s="222">
        <v>5.2499999999999998E-2</v>
      </c>
      <c r="O33" s="185" t="s">
        <v>43</v>
      </c>
      <c r="R33" s="394">
        <f ca="1">G12</f>
        <v>94612340.049754888</v>
      </c>
    </row>
    <row r="34" spans="1:18">
      <c r="B34" s="185" t="s">
        <v>27</v>
      </c>
      <c r="G34" s="219">
        <f ca="1">PV(R18/12,R19*12,-H63/R23/12,0)</f>
        <v>53028466.067399338</v>
      </c>
      <c r="O34" s="309" t="s">
        <v>435</v>
      </c>
      <c r="P34" s="238"/>
      <c r="Q34" s="310">
        <v>0.01</v>
      </c>
      <c r="R34" s="240">
        <f ca="1">R33*Q34</f>
        <v>946123.40049754886</v>
      </c>
    </row>
    <row r="35" spans="1:18">
      <c r="O35" s="185" t="s">
        <v>45</v>
      </c>
      <c r="R35" s="219">
        <f ca="1">SUM(R33:R34)</f>
        <v>95558463.450252444</v>
      </c>
    </row>
    <row r="37" spans="1:18">
      <c r="A37" s="185" t="s">
        <v>1</v>
      </c>
      <c r="B37" s="216" t="s">
        <v>46</v>
      </c>
      <c r="C37" s="216"/>
      <c r="D37" s="216"/>
      <c r="E37" s="216"/>
      <c r="F37" s="243"/>
      <c r="G37" s="243">
        <f>F37+1</f>
        <v>1</v>
      </c>
      <c r="H37" s="243">
        <f>G37+1</f>
        <v>2</v>
      </c>
      <c r="I37" s="243">
        <f t="shared" ref="I37:R37" si="0">H37+1</f>
        <v>3</v>
      </c>
      <c r="J37" s="243">
        <f t="shared" si="0"/>
        <v>4</v>
      </c>
      <c r="K37" s="243">
        <f t="shared" si="0"/>
        <v>5</v>
      </c>
      <c r="L37" s="243">
        <f t="shared" si="0"/>
        <v>6</v>
      </c>
      <c r="M37" s="243">
        <f t="shared" si="0"/>
        <v>7</v>
      </c>
      <c r="N37" s="243">
        <f t="shared" si="0"/>
        <v>8</v>
      </c>
      <c r="O37" s="243">
        <f t="shared" si="0"/>
        <v>9</v>
      </c>
      <c r="P37" s="243">
        <f t="shared" si="0"/>
        <v>10</v>
      </c>
      <c r="Q37" s="243">
        <f t="shared" si="0"/>
        <v>11</v>
      </c>
      <c r="R37" s="243">
        <f t="shared" si="0"/>
        <v>12</v>
      </c>
    </row>
    <row r="38" spans="1:18">
      <c r="B38" s="218" t="s">
        <v>47</v>
      </c>
      <c r="K38" s="225"/>
    </row>
    <row r="39" spans="1:18">
      <c r="B39" s="185" t="s">
        <v>48</v>
      </c>
      <c r="G39" s="219">
        <f ca="1">IF(G37&gt;=$M$23,$M$18*$M$24*$G$22*($L$37),$M$18*$G$22*(G$37*$M$24))</f>
        <v>17580</v>
      </c>
      <c r="H39" s="219">
        <f t="shared" ref="H39:R39" ca="1" si="1">IF(H37&gt;=$M$23,$M$18*$M$24*$G$22*($L$37),$M$18*$G$22*(H$37*$M$24))</f>
        <v>35160</v>
      </c>
      <c r="I39" s="219">
        <f t="shared" ca="1" si="1"/>
        <v>52740</v>
      </c>
      <c r="J39" s="219">
        <f t="shared" ca="1" si="1"/>
        <v>70320</v>
      </c>
      <c r="K39" s="219">
        <f t="shared" ca="1" si="1"/>
        <v>87900</v>
      </c>
      <c r="L39" s="219">
        <f t="shared" ca="1" si="1"/>
        <v>105480</v>
      </c>
      <c r="M39" s="219">
        <f t="shared" ca="1" si="1"/>
        <v>105480</v>
      </c>
      <c r="N39" s="219">
        <f t="shared" ca="1" si="1"/>
        <v>105480</v>
      </c>
      <c r="O39" s="219">
        <f t="shared" ca="1" si="1"/>
        <v>105480</v>
      </c>
      <c r="P39" s="219">
        <f t="shared" ca="1" si="1"/>
        <v>105480</v>
      </c>
      <c r="Q39" s="219">
        <f t="shared" ca="1" si="1"/>
        <v>105480</v>
      </c>
      <c r="R39" s="219">
        <f t="shared" ca="1" si="1"/>
        <v>105480</v>
      </c>
    </row>
    <row r="40" spans="1:18">
      <c r="B40" s="185" t="s">
        <v>49</v>
      </c>
      <c r="G40" s="219">
        <f t="shared" ref="G40:R40" ca="1" si="2">IF(G37&gt;=$M$23,$M$19*$M$24*$G$23*($L$37),$M$19*$G$23*(G$37*$M$24))</f>
        <v>51275</v>
      </c>
      <c r="H40" s="219">
        <f t="shared" ca="1" si="2"/>
        <v>102550</v>
      </c>
      <c r="I40" s="219">
        <f t="shared" ca="1" si="2"/>
        <v>153825</v>
      </c>
      <c r="J40" s="219">
        <f t="shared" ca="1" si="2"/>
        <v>205100</v>
      </c>
      <c r="K40" s="219">
        <f t="shared" ca="1" si="2"/>
        <v>256375.00000000003</v>
      </c>
      <c r="L40" s="219">
        <f t="shared" ca="1" si="2"/>
        <v>307650</v>
      </c>
      <c r="M40" s="219">
        <f t="shared" ca="1" si="2"/>
        <v>307650</v>
      </c>
      <c r="N40" s="219">
        <f t="shared" ca="1" si="2"/>
        <v>307650</v>
      </c>
      <c r="O40" s="219">
        <f t="shared" ca="1" si="2"/>
        <v>307650</v>
      </c>
      <c r="P40" s="219">
        <f t="shared" ca="1" si="2"/>
        <v>307650</v>
      </c>
      <c r="Q40" s="219">
        <f t="shared" ca="1" si="2"/>
        <v>307650</v>
      </c>
      <c r="R40" s="219">
        <f t="shared" ca="1" si="2"/>
        <v>307650</v>
      </c>
    </row>
    <row r="41" spans="1:18">
      <c r="B41" s="185" t="s">
        <v>50</v>
      </c>
      <c r="G41" s="219">
        <f t="shared" ref="G41:R41" ca="1" si="3">IF(G37&gt;=$M$23,$M$20*$M$24*$G$24*($L$37),$M$20*$G$24*(G$37*$M$24))</f>
        <v>38090</v>
      </c>
      <c r="H41" s="219">
        <f t="shared" ca="1" si="3"/>
        <v>76180</v>
      </c>
      <c r="I41" s="219">
        <f t="shared" ca="1" si="3"/>
        <v>114270</v>
      </c>
      <c r="J41" s="219">
        <f t="shared" ca="1" si="3"/>
        <v>152360</v>
      </c>
      <c r="K41" s="219">
        <f t="shared" ca="1" si="3"/>
        <v>190450.00000000003</v>
      </c>
      <c r="L41" s="219">
        <f t="shared" ca="1" si="3"/>
        <v>228540</v>
      </c>
      <c r="M41" s="219">
        <f t="shared" ca="1" si="3"/>
        <v>228540</v>
      </c>
      <c r="N41" s="219">
        <f t="shared" ca="1" si="3"/>
        <v>228540</v>
      </c>
      <c r="O41" s="219">
        <f t="shared" ca="1" si="3"/>
        <v>228540</v>
      </c>
      <c r="P41" s="219">
        <f t="shared" ca="1" si="3"/>
        <v>228540</v>
      </c>
      <c r="Q41" s="219">
        <f t="shared" ca="1" si="3"/>
        <v>228540</v>
      </c>
      <c r="R41" s="219">
        <f t="shared" ca="1" si="3"/>
        <v>228540</v>
      </c>
    </row>
    <row r="42" spans="1:18">
      <c r="B42" s="244" t="s">
        <v>37</v>
      </c>
      <c r="C42" s="244"/>
      <c r="D42" s="244"/>
      <c r="E42" s="244"/>
      <c r="F42" s="244"/>
      <c r="G42" s="245">
        <f ca="1">SUM(G39:G41)</f>
        <v>106945</v>
      </c>
      <c r="H42" s="245">
        <f t="shared" ref="H42:R42" ca="1" si="4">SUM(H39:H41)</f>
        <v>213890</v>
      </c>
      <c r="I42" s="245">
        <f t="shared" ca="1" si="4"/>
        <v>320835</v>
      </c>
      <c r="J42" s="245">
        <f t="shared" ca="1" si="4"/>
        <v>427780</v>
      </c>
      <c r="K42" s="245">
        <f t="shared" ca="1" si="4"/>
        <v>534725</v>
      </c>
      <c r="L42" s="245">
        <f t="shared" ca="1" si="4"/>
        <v>641670</v>
      </c>
      <c r="M42" s="245">
        <f t="shared" ca="1" si="4"/>
        <v>641670</v>
      </c>
      <c r="N42" s="245">
        <f t="shared" ca="1" si="4"/>
        <v>641670</v>
      </c>
      <c r="O42" s="245">
        <f t="shared" ca="1" si="4"/>
        <v>641670</v>
      </c>
      <c r="P42" s="245">
        <f t="shared" ca="1" si="4"/>
        <v>641670</v>
      </c>
      <c r="Q42" s="245">
        <f t="shared" ca="1" si="4"/>
        <v>641670</v>
      </c>
      <c r="R42" s="245">
        <f t="shared" ca="1" si="4"/>
        <v>641670</v>
      </c>
    </row>
    <row r="44" spans="1:18">
      <c r="A44" s="185" t="s">
        <v>1</v>
      </c>
      <c r="B44" s="216" t="s">
        <v>51</v>
      </c>
      <c r="C44" s="216"/>
      <c r="D44" s="216"/>
      <c r="E44" s="216"/>
      <c r="F44" s="216"/>
      <c r="G44" s="246">
        <v>0</v>
      </c>
      <c r="H44" s="246">
        <f>G44+1</f>
        <v>1</v>
      </c>
      <c r="I44" s="246">
        <f t="shared" ref="I44:R44" si="5">H44+1</f>
        <v>2</v>
      </c>
      <c r="J44" s="246">
        <f t="shared" si="5"/>
        <v>3</v>
      </c>
      <c r="K44" s="246">
        <f t="shared" si="5"/>
        <v>4</v>
      </c>
      <c r="L44" s="246">
        <f t="shared" si="5"/>
        <v>5</v>
      </c>
      <c r="M44" s="246">
        <f t="shared" si="5"/>
        <v>6</v>
      </c>
      <c r="N44" s="246">
        <f t="shared" si="5"/>
        <v>7</v>
      </c>
      <c r="O44" s="246">
        <f t="shared" si="5"/>
        <v>8</v>
      </c>
      <c r="P44" s="246">
        <f t="shared" si="5"/>
        <v>9</v>
      </c>
      <c r="Q44" s="246">
        <f t="shared" si="5"/>
        <v>10</v>
      </c>
      <c r="R44" s="246">
        <f t="shared" si="5"/>
        <v>11</v>
      </c>
    </row>
    <row r="45" spans="1:18">
      <c r="B45" s="247" t="s">
        <v>52</v>
      </c>
      <c r="C45" s="247"/>
      <c r="D45" s="247"/>
      <c r="E45" s="247"/>
      <c r="F45" s="247"/>
      <c r="G45" s="247"/>
      <c r="H45" s="248">
        <f t="shared" ref="H45:R45" si="6">1-$M$21</f>
        <v>0.95</v>
      </c>
      <c r="I45" s="248">
        <f t="shared" si="6"/>
        <v>0.95</v>
      </c>
      <c r="J45" s="248">
        <f t="shared" si="6"/>
        <v>0.95</v>
      </c>
      <c r="K45" s="248">
        <f t="shared" si="6"/>
        <v>0.95</v>
      </c>
      <c r="L45" s="248">
        <f t="shared" si="6"/>
        <v>0.95</v>
      </c>
      <c r="M45" s="248">
        <f t="shared" si="6"/>
        <v>0.95</v>
      </c>
      <c r="N45" s="248">
        <f t="shared" si="6"/>
        <v>0.95</v>
      </c>
      <c r="O45" s="248">
        <f t="shared" si="6"/>
        <v>0.95</v>
      </c>
      <c r="P45" s="248">
        <f t="shared" si="6"/>
        <v>0.95</v>
      </c>
      <c r="Q45" s="248">
        <f t="shared" si="6"/>
        <v>0.95</v>
      </c>
      <c r="R45" s="248">
        <f t="shared" si="6"/>
        <v>0.95</v>
      </c>
    </row>
    <row r="46" spans="1:18"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</row>
    <row r="47" spans="1:18">
      <c r="B47" s="185" t="s">
        <v>43</v>
      </c>
      <c r="G47" s="219">
        <f ca="1">-R35</f>
        <v>-95558463.450252444</v>
      </c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</row>
    <row r="49" spans="2:20">
      <c r="B49" s="247" t="s">
        <v>53</v>
      </c>
      <c r="G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</row>
    <row r="50" spans="2:20">
      <c r="B50" s="185" t="s">
        <v>54</v>
      </c>
      <c r="G50" s="219"/>
      <c r="H50" s="219">
        <f ca="1">SUM(G39:R39)</f>
        <v>1002060</v>
      </c>
      <c r="I50" s="219">
        <f t="shared" ref="I50:R50" ca="1" si="7">$G$17*$G$22*$M$18*(1+$M$22)^I44*12</f>
        <v>1342844.784</v>
      </c>
      <c r="J50" s="219">
        <f t="shared" ca="1" si="7"/>
        <v>1383130.1275200001</v>
      </c>
      <c r="K50" s="219">
        <f t="shared" ca="1" si="7"/>
        <v>1424624.0313455998</v>
      </c>
      <c r="L50" s="219">
        <f t="shared" ca="1" si="7"/>
        <v>1467362.7522859678</v>
      </c>
      <c r="M50" s="219">
        <f t="shared" ca="1" si="7"/>
        <v>1511383.6348545467</v>
      </c>
      <c r="N50" s="219">
        <f t="shared" ca="1" si="7"/>
        <v>1556725.1439001835</v>
      </c>
      <c r="O50" s="219">
        <f t="shared" ca="1" si="7"/>
        <v>1603426.8982171887</v>
      </c>
      <c r="P50" s="219">
        <f t="shared" ca="1" si="7"/>
        <v>1651529.7051637042</v>
      </c>
      <c r="Q50" s="219">
        <f t="shared" ca="1" si="7"/>
        <v>1701075.5963186156</v>
      </c>
      <c r="R50" s="219">
        <f t="shared" ca="1" si="7"/>
        <v>1752107.8642081739</v>
      </c>
    </row>
    <row r="51" spans="2:20">
      <c r="B51" s="185" t="s">
        <v>55</v>
      </c>
      <c r="G51" s="219"/>
      <c r="H51" s="219">
        <f ca="1">SUM(G40:R40)</f>
        <v>2922675</v>
      </c>
      <c r="I51" s="219">
        <f t="shared" ref="I51:R51" ca="1" si="8">$G$17*$G$23*$M$19*(1+$M$22)^H44*12</f>
        <v>3802554</v>
      </c>
      <c r="J51" s="219">
        <f t="shared" ca="1" si="8"/>
        <v>3916630.62</v>
      </c>
      <c r="K51" s="219">
        <f t="shared" ca="1" si="8"/>
        <v>4034129.5386000001</v>
      </c>
      <c r="L51" s="219">
        <f t="shared" ca="1" si="8"/>
        <v>4155153.4247579994</v>
      </c>
      <c r="M51" s="219">
        <f t="shared" ca="1" si="8"/>
        <v>4279808.0275007393</v>
      </c>
      <c r="N51" s="219">
        <f t="shared" ca="1" si="8"/>
        <v>4408202.2683257619</v>
      </c>
      <c r="O51" s="219">
        <f t="shared" ca="1" si="8"/>
        <v>4540448.3363755355</v>
      </c>
      <c r="P51" s="219">
        <f t="shared" ca="1" si="8"/>
        <v>4676661.7864668006</v>
      </c>
      <c r="Q51" s="219">
        <f t="shared" ca="1" si="8"/>
        <v>4816961.6400608048</v>
      </c>
      <c r="R51" s="219">
        <f t="shared" ca="1" si="8"/>
        <v>4961470.4892626293</v>
      </c>
    </row>
    <row r="52" spans="2:20">
      <c r="B52" s="185" t="s">
        <v>56</v>
      </c>
      <c r="G52" s="219"/>
      <c r="H52" s="219">
        <f ca="1">SUM(G41:R41)</f>
        <v>2171130</v>
      </c>
      <c r="I52" s="219">
        <f t="shared" ref="I52:R52" ca="1" si="9">$G$17*$G$24*$M$20*(1+$M$22)^H44*12</f>
        <v>2824754.4</v>
      </c>
      <c r="J52" s="219">
        <f t="shared" ca="1" si="9"/>
        <v>2909497.0319999997</v>
      </c>
      <c r="K52" s="219">
        <f t="shared" ca="1" si="9"/>
        <v>2996781.9429599997</v>
      </c>
      <c r="L52" s="219">
        <f t="shared" ca="1" si="9"/>
        <v>3086685.4012487996</v>
      </c>
      <c r="M52" s="219">
        <f t="shared" ca="1" si="9"/>
        <v>3179285.9632862629</v>
      </c>
      <c r="N52" s="219">
        <f t="shared" ca="1" si="9"/>
        <v>3274664.5421848511</v>
      </c>
      <c r="O52" s="219">
        <f t="shared" ca="1" si="9"/>
        <v>3372904.478450397</v>
      </c>
      <c r="P52" s="219">
        <f t="shared" ca="1" si="9"/>
        <v>3474091.6128039085</v>
      </c>
      <c r="Q52" s="219">
        <f t="shared" ca="1" si="9"/>
        <v>3578314.3611880261</v>
      </c>
      <c r="R52" s="219">
        <f t="shared" ca="1" si="9"/>
        <v>3685663.7920236667</v>
      </c>
    </row>
    <row r="53" spans="2:20">
      <c r="B53" s="247" t="s">
        <v>57</v>
      </c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</row>
    <row r="54" spans="2:20">
      <c r="B54" s="185" t="s">
        <v>58</v>
      </c>
      <c r="G54" s="219"/>
      <c r="H54" s="219">
        <f t="shared" ref="H54:R54" ca="1" si="10">$G$25*$M$29*(1+$M$22)^G44</f>
        <v>277626.66666666669</v>
      </c>
      <c r="I54" s="219">
        <f t="shared" ca="1" si="10"/>
        <v>285955.46666666667</v>
      </c>
      <c r="J54" s="219">
        <f t="shared" ca="1" si="10"/>
        <v>294534.13066666666</v>
      </c>
      <c r="K54" s="219">
        <f t="shared" ca="1" si="10"/>
        <v>303370.15458666667</v>
      </c>
      <c r="L54" s="219">
        <f t="shared" ca="1" si="10"/>
        <v>312471.25922426669</v>
      </c>
      <c r="M54" s="219">
        <f t="shared" ca="1" si="10"/>
        <v>321845.39700099465</v>
      </c>
      <c r="N54" s="219">
        <f t="shared" ca="1" si="10"/>
        <v>331500.75891102449</v>
      </c>
      <c r="O54" s="219">
        <f t="shared" ca="1" si="10"/>
        <v>341445.78167835524</v>
      </c>
      <c r="P54" s="219">
        <f t="shared" ca="1" si="10"/>
        <v>351689.1551287059</v>
      </c>
      <c r="Q54" s="219">
        <f t="shared" ca="1" si="10"/>
        <v>362239.82978256705</v>
      </c>
      <c r="R54" s="219">
        <f t="shared" ca="1" si="10"/>
        <v>373107.02467604406</v>
      </c>
    </row>
    <row r="55" spans="2:20">
      <c r="B55" s="244" t="s">
        <v>59</v>
      </c>
      <c r="C55" s="244"/>
      <c r="D55" s="244"/>
      <c r="E55" s="244"/>
      <c r="F55" s="244"/>
      <c r="G55" s="245"/>
      <c r="H55" s="245">
        <f t="shared" ref="H55:R55" ca="1" si="11">SUM(H48:H54)</f>
        <v>6373491.666666667</v>
      </c>
      <c r="I55" s="245">
        <f t="shared" ca="1" si="11"/>
        <v>8256108.6506666671</v>
      </c>
      <c r="J55" s="245">
        <f t="shared" ca="1" si="11"/>
        <v>8503791.910186667</v>
      </c>
      <c r="K55" s="245">
        <f t="shared" ca="1" si="11"/>
        <v>8758905.6674922667</v>
      </c>
      <c r="L55" s="245">
        <f t="shared" ca="1" si="11"/>
        <v>9021672.8375170324</v>
      </c>
      <c r="M55" s="245">
        <f t="shared" ca="1" si="11"/>
        <v>9292323.0226425435</v>
      </c>
      <c r="N55" s="245">
        <f t="shared" ca="1" si="11"/>
        <v>9571092.7133218199</v>
      </c>
      <c r="O55" s="245">
        <f t="shared" ca="1" si="11"/>
        <v>9858225.494721476</v>
      </c>
      <c r="P55" s="245">
        <f t="shared" ca="1" si="11"/>
        <v>10153972.25956312</v>
      </c>
      <c r="Q55" s="245">
        <f t="shared" ca="1" si="11"/>
        <v>10458591.427350014</v>
      </c>
      <c r="R55" s="245">
        <f t="shared" ca="1" si="11"/>
        <v>10772349.170170514</v>
      </c>
    </row>
    <row r="56" spans="2:20"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</row>
    <row r="57" spans="2:20">
      <c r="B57" s="238" t="s">
        <v>60</v>
      </c>
      <c r="C57" s="238"/>
      <c r="D57" s="238"/>
      <c r="E57" s="238"/>
      <c r="F57" s="238"/>
      <c r="G57" s="238"/>
      <c r="H57" s="240">
        <f t="shared" ref="H57:R57" ca="1" si="12">-(1-H45)*SUM(H50:H52)</f>
        <v>-304793.25000000029</v>
      </c>
      <c r="I57" s="240">
        <f t="shared" ca="1" si="12"/>
        <v>-398507.65920000034</v>
      </c>
      <c r="J57" s="240">
        <f t="shared" ca="1" si="12"/>
        <v>-410462.88897600031</v>
      </c>
      <c r="K57" s="240">
        <f t="shared" ca="1" si="12"/>
        <v>-422776.77564528037</v>
      </c>
      <c r="L57" s="240">
        <f t="shared" ca="1" si="12"/>
        <v>-435460.07891463873</v>
      </c>
      <c r="M57" s="240">
        <f t="shared" ca="1" si="12"/>
        <v>-448523.88128207787</v>
      </c>
      <c r="N57" s="240">
        <f t="shared" ca="1" si="12"/>
        <v>-461979.59772054019</v>
      </c>
      <c r="O57" s="240">
        <f t="shared" ca="1" si="12"/>
        <v>-475838.98565215652</v>
      </c>
      <c r="P57" s="240">
        <f t="shared" ca="1" si="12"/>
        <v>-490114.1552217211</v>
      </c>
      <c r="Q57" s="240">
        <f t="shared" ca="1" si="12"/>
        <v>-504817.57987837278</v>
      </c>
      <c r="R57" s="240">
        <f t="shared" ca="1" si="12"/>
        <v>-519962.107274724</v>
      </c>
    </row>
    <row r="58" spans="2:20">
      <c r="B58" s="185" t="s">
        <v>61</v>
      </c>
      <c r="H58" s="219">
        <f ca="1">SUM(H55:H57)</f>
        <v>6068698.416666667</v>
      </c>
      <c r="I58" s="219">
        <f t="shared" ref="I58:R58" ca="1" si="13">SUM(I55:I57)</f>
        <v>7857600.9914666666</v>
      </c>
      <c r="J58" s="219">
        <f t="shared" ca="1" si="13"/>
        <v>8093329.0212106667</v>
      </c>
      <c r="K58" s="219">
        <f t="shared" ca="1" si="13"/>
        <v>8336128.8918469865</v>
      </c>
      <c r="L58" s="219">
        <f t="shared" ca="1" si="13"/>
        <v>8586212.7586023938</v>
      </c>
      <c r="M58" s="219">
        <f t="shared" ca="1" si="13"/>
        <v>8843799.1413604654</v>
      </c>
      <c r="N58" s="219">
        <f t="shared" ca="1" si="13"/>
        <v>9109113.1156012788</v>
      </c>
      <c r="O58" s="219">
        <f t="shared" ca="1" si="13"/>
        <v>9382386.5090693198</v>
      </c>
      <c r="P58" s="219">
        <f t="shared" ca="1" si="13"/>
        <v>9663858.1043413989</v>
      </c>
      <c r="Q58" s="219">
        <f t="shared" ca="1" si="13"/>
        <v>9953773.8474716414</v>
      </c>
      <c r="R58" s="219">
        <f t="shared" ca="1" si="13"/>
        <v>10252387.06289579</v>
      </c>
    </row>
    <row r="60" spans="2:20">
      <c r="B60" s="185" t="s">
        <v>62</v>
      </c>
      <c r="H60" s="219">
        <f t="shared" ref="H60:R60" ca="1" si="14">-($M$25*H58)*(1+$M$26)^H44</f>
        <v>-1547518.0962500002</v>
      </c>
      <c r="I60" s="219">
        <f t="shared" ca="1" si="14"/>
        <v>-2043762.01788048</v>
      </c>
      <c r="J60" s="219">
        <f t="shared" ca="1" si="14"/>
        <v>-2147176.3759852322</v>
      </c>
      <c r="K60" s="219">
        <f t="shared" ca="1" si="14"/>
        <v>-2255823.5006100847</v>
      </c>
      <c r="L60" s="219">
        <f t="shared" ca="1" si="14"/>
        <v>-2369968.1697409549</v>
      </c>
      <c r="M60" s="219">
        <f t="shared" ca="1" si="14"/>
        <v>-2489888.5591298472</v>
      </c>
      <c r="N60" s="219">
        <f t="shared" ca="1" si="14"/>
        <v>-2615876.9202218167</v>
      </c>
      <c r="O60" s="219">
        <f t="shared" ca="1" si="14"/>
        <v>-2748240.2923850417</v>
      </c>
      <c r="P60" s="219">
        <f t="shared" ca="1" si="14"/>
        <v>-2887301.2511797245</v>
      </c>
      <c r="Q60" s="219">
        <f t="shared" ca="1" si="14"/>
        <v>-3033398.694489419</v>
      </c>
      <c r="R60" s="219">
        <f t="shared" ca="1" si="14"/>
        <v>-3186888.6684305826</v>
      </c>
    </row>
    <row r="61" spans="2:20">
      <c r="B61" s="185" t="s">
        <v>31</v>
      </c>
      <c r="H61" s="395">
        <f t="shared" ref="H61:R61" ca="1" si="15">-($G$12*$L$27)*$M$27*(1+$M$26)^G44</f>
        <v>-530707.10679428908</v>
      </c>
      <c r="I61" s="395">
        <f t="shared" ca="1" si="15"/>
        <v>-541321.24893017486</v>
      </c>
      <c r="J61" s="395">
        <f t="shared" ca="1" si="15"/>
        <v>-552147.67390877835</v>
      </c>
      <c r="K61" s="395">
        <f t="shared" ca="1" si="15"/>
        <v>-563190.62738695391</v>
      </c>
      <c r="L61" s="395">
        <f t="shared" ca="1" si="15"/>
        <v>-574454.43993469304</v>
      </c>
      <c r="M61" s="395">
        <f t="shared" ca="1" si="15"/>
        <v>-585943.52873338689</v>
      </c>
      <c r="N61" s="395">
        <f t="shared" ca="1" si="15"/>
        <v>-597662.39930805459</v>
      </c>
      <c r="O61" s="395">
        <f t="shared" ca="1" si="15"/>
        <v>-609615.64729421563</v>
      </c>
      <c r="P61" s="395">
        <f t="shared" ca="1" si="15"/>
        <v>-621807.96024009993</v>
      </c>
      <c r="Q61" s="395">
        <f t="shared" ca="1" si="15"/>
        <v>-634244.11944490194</v>
      </c>
      <c r="R61" s="395">
        <f t="shared" ca="1" si="15"/>
        <v>-646929.00183379999</v>
      </c>
      <c r="T61" s="249"/>
    </row>
    <row r="62" spans="2:20">
      <c r="B62" s="185" t="s">
        <v>63</v>
      </c>
      <c r="H62" s="219">
        <f t="shared" ref="H62:R62" ca="1" si="16">-H58*$M$28</f>
        <v>-121373.96833333334</v>
      </c>
      <c r="I62" s="219">
        <f t="shared" ca="1" si="16"/>
        <v>-157152.01982933332</v>
      </c>
      <c r="J62" s="219">
        <f t="shared" ca="1" si="16"/>
        <v>-161866.58042421335</v>
      </c>
      <c r="K62" s="219">
        <f t="shared" ca="1" si="16"/>
        <v>-166722.57783693974</v>
      </c>
      <c r="L62" s="219">
        <f t="shared" ca="1" si="16"/>
        <v>-171724.25517204788</v>
      </c>
      <c r="M62" s="219">
        <f t="shared" ca="1" si="16"/>
        <v>-176875.98282720931</v>
      </c>
      <c r="N62" s="219">
        <f t="shared" ca="1" si="16"/>
        <v>-182182.26231202559</v>
      </c>
      <c r="O62" s="219">
        <f t="shared" ca="1" si="16"/>
        <v>-187647.7301813864</v>
      </c>
      <c r="P62" s="219">
        <f t="shared" ca="1" si="16"/>
        <v>-193277.16208682797</v>
      </c>
      <c r="Q62" s="219">
        <f t="shared" ca="1" si="16"/>
        <v>-199075.47694943284</v>
      </c>
      <c r="R62" s="219">
        <f t="shared" ca="1" si="16"/>
        <v>-205047.7412579158</v>
      </c>
    </row>
    <row r="63" spans="2:20">
      <c r="B63" s="244" t="s">
        <v>64</v>
      </c>
      <c r="C63" s="244"/>
      <c r="D63" s="244"/>
      <c r="E63" s="244"/>
      <c r="F63" s="244"/>
      <c r="G63" s="244"/>
      <c r="H63" s="245">
        <f ca="1">SUM(H58:H62)</f>
        <v>3869099.245289044</v>
      </c>
      <c r="I63" s="245">
        <f t="shared" ref="I63:R63" ca="1" si="17">SUM(I58:I62)</f>
        <v>5115365.7048266781</v>
      </c>
      <c r="J63" s="245">
        <f t="shared" ca="1" si="17"/>
        <v>5232138.3908924423</v>
      </c>
      <c r="K63" s="245">
        <f t="shared" ca="1" si="17"/>
        <v>5350392.1860130075</v>
      </c>
      <c r="L63" s="245">
        <f t="shared" ca="1" si="17"/>
        <v>5470065.8937546983</v>
      </c>
      <c r="M63" s="245">
        <f t="shared" ca="1" si="17"/>
        <v>5591091.0706700226</v>
      </c>
      <c r="N63" s="245">
        <f t="shared" ca="1" si="17"/>
        <v>5713391.5337593816</v>
      </c>
      <c r="O63" s="245">
        <f t="shared" ca="1" si="17"/>
        <v>5836882.8392086755</v>
      </c>
      <c r="P63" s="245">
        <f t="shared" ca="1" si="17"/>
        <v>5961471.7308347467</v>
      </c>
      <c r="Q63" s="245">
        <f t="shared" ca="1" si="17"/>
        <v>6087055.556587887</v>
      </c>
      <c r="R63" s="245">
        <f t="shared" ca="1" si="17"/>
        <v>6213521.6513734907</v>
      </c>
    </row>
    <row r="65" spans="1:18">
      <c r="B65" s="185" t="s">
        <v>65</v>
      </c>
      <c r="H65" s="219">
        <f t="shared" ref="H65:R65" si="18">IF(H44=$M$31,I63/$M$33,0)</f>
        <v>0</v>
      </c>
      <c r="I65" s="219">
        <f t="shared" si="18"/>
        <v>0</v>
      </c>
      <c r="J65" s="219">
        <f t="shared" si="18"/>
        <v>0</v>
      </c>
      <c r="K65" s="219">
        <f t="shared" si="18"/>
        <v>0</v>
      </c>
      <c r="L65" s="219">
        <f t="shared" si="18"/>
        <v>0</v>
      </c>
      <c r="M65" s="219">
        <f t="shared" si="18"/>
        <v>0</v>
      </c>
      <c r="N65" s="219">
        <f t="shared" si="18"/>
        <v>0</v>
      </c>
      <c r="O65" s="219">
        <f t="shared" ca="1" si="18"/>
        <v>113551842.49209042</v>
      </c>
      <c r="P65" s="219">
        <f t="shared" si="18"/>
        <v>0</v>
      </c>
      <c r="Q65" s="219">
        <f t="shared" si="18"/>
        <v>0</v>
      </c>
      <c r="R65" s="219">
        <f t="shared" si="18"/>
        <v>0</v>
      </c>
    </row>
    <row r="66" spans="1:18">
      <c r="B66" s="238" t="s">
        <v>66</v>
      </c>
      <c r="C66" s="238"/>
      <c r="D66" s="238"/>
      <c r="E66" s="238"/>
      <c r="F66" s="238"/>
      <c r="G66" s="238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</row>
    <row r="67" spans="1:18">
      <c r="A67" s="250"/>
      <c r="B67" s="251" t="s">
        <v>67</v>
      </c>
      <c r="C67" s="251"/>
      <c r="D67" s="251"/>
      <c r="E67" s="251"/>
      <c r="F67" s="251"/>
      <c r="G67" s="252">
        <f t="shared" ref="G67:R67" ca="1" si="19">IF(G44&lt;=$M$31,SUM(G63,G65:G66,G47),0)</f>
        <v>-95558463.450252444</v>
      </c>
      <c r="H67" s="252">
        <f t="shared" ca="1" si="19"/>
        <v>3869099.245289044</v>
      </c>
      <c r="I67" s="252">
        <f t="shared" ca="1" si="19"/>
        <v>5115365.7048266781</v>
      </c>
      <c r="J67" s="252">
        <f t="shared" ca="1" si="19"/>
        <v>5232138.3908924423</v>
      </c>
      <c r="K67" s="252">
        <f t="shared" ca="1" si="19"/>
        <v>5350392.1860130075</v>
      </c>
      <c r="L67" s="252">
        <f t="shared" ca="1" si="19"/>
        <v>5470065.8937546983</v>
      </c>
      <c r="M67" s="252">
        <f t="shared" ca="1" si="19"/>
        <v>5591091.0706700226</v>
      </c>
      <c r="N67" s="252">
        <f t="shared" ca="1" si="19"/>
        <v>5713391.5337593816</v>
      </c>
      <c r="O67" s="252">
        <f t="shared" ca="1" si="19"/>
        <v>119388725.3312991</v>
      </c>
      <c r="P67" s="252">
        <f t="shared" si="19"/>
        <v>0</v>
      </c>
      <c r="Q67" s="252">
        <f t="shared" si="19"/>
        <v>0</v>
      </c>
      <c r="R67" s="252">
        <f t="shared" si="19"/>
        <v>0</v>
      </c>
    </row>
    <row r="68" spans="1:18" ht="16" thickBot="1"/>
    <row r="69" spans="1:18">
      <c r="B69" s="253" t="s">
        <v>68</v>
      </c>
      <c r="C69" s="254"/>
      <c r="D69" s="254"/>
      <c r="E69" s="254"/>
      <c r="F69" s="255">
        <f ca="1">SUM(G67:R67)</f>
        <v>60171805.906251952</v>
      </c>
    </row>
    <row r="70" spans="1:18">
      <c r="B70" s="256" t="s">
        <v>69</v>
      </c>
      <c r="F70" s="265">
        <f ca="1">NPV(M32,H67:R67)</f>
        <v>94062029.619575053</v>
      </c>
    </row>
    <row r="71" spans="1:18">
      <c r="B71" s="256" t="s">
        <v>70</v>
      </c>
      <c r="F71" s="265">
        <f ca="1">F70+G67</f>
        <v>-1496433.8306773901</v>
      </c>
      <c r="G71" s="258"/>
    </row>
    <row r="72" spans="1:18">
      <c r="B72" s="256" t="s">
        <v>71</v>
      </c>
      <c r="F72" s="259">
        <f ca="1">IRR(G67:R67)</f>
        <v>7.2517004069184932E-2</v>
      </c>
    </row>
    <row r="73" spans="1:18" ht="16" thickBot="1">
      <c r="B73" s="260" t="s">
        <v>72</v>
      </c>
      <c r="C73" s="261"/>
      <c r="D73" s="261"/>
      <c r="E73" s="261"/>
      <c r="F73" s="262">
        <f ca="1">(F69/-G67)+1</f>
        <v>1.6296857832752543</v>
      </c>
    </row>
    <row r="75" spans="1:18">
      <c r="B75" s="185" t="s">
        <v>73</v>
      </c>
      <c r="G75" s="219">
        <f ca="1">R29</f>
        <v>61498021.032340676</v>
      </c>
    </row>
    <row r="76" spans="1:18">
      <c r="B76" s="185" t="s">
        <v>74</v>
      </c>
      <c r="H76" s="258">
        <f t="shared" ref="H76:R76" si="20">IF(H44=$M$31,FV($R$18/12,H44*12,$R$20,$R$17,0),0)</f>
        <v>0</v>
      </c>
      <c r="I76" s="258">
        <f t="shared" si="20"/>
        <v>0</v>
      </c>
      <c r="J76" s="258">
        <f t="shared" si="20"/>
        <v>0</v>
      </c>
      <c r="K76" s="258">
        <f t="shared" si="20"/>
        <v>0</v>
      </c>
      <c r="L76" s="258">
        <f t="shared" si="20"/>
        <v>0</v>
      </c>
      <c r="M76" s="258">
        <f t="shared" si="20"/>
        <v>0</v>
      </c>
      <c r="N76" s="258">
        <f t="shared" si="20"/>
        <v>0</v>
      </c>
      <c r="O76" s="219">
        <f t="shared" ca="1" si="20"/>
        <v>-52160805.457274474</v>
      </c>
      <c r="P76" s="258">
        <f t="shared" si="20"/>
        <v>0</v>
      </c>
      <c r="Q76" s="219">
        <f t="shared" si="20"/>
        <v>0</v>
      </c>
      <c r="R76" s="258">
        <f t="shared" si="20"/>
        <v>0</v>
      </c>
    </row>
    <row r="77" spans="1:18">
      <c r="B77" s="185" t="s">
        <v>75</v>
      </c>
      <c r="H77" s="219">
        <f t="shared" ref="H77:R77" ca="1" si="21">IF(H44&lt;=$M$31,$R$20*12,0)</f>
        <v>-3739217.2608540072</v>
      </c>
      <c r="I77" s="219">
        <f t="shared" ca="1" si="21"/>
        <v>-3739217.2608540072</v>
      </c>
      <c r="J77" s="219">
        <f t="shared" ca="1" si="21"/>
        <v>-3739217.2608540072</v>
      </c>
      <c r="K77" s="219">
        <f t="shared" ca="1" si="21"/>
        <v>-3739217.2608540072</v>
      </c>
      <c r="L77" s="219">
        <f t="shared" ca="1" si="21"/>
        <v>-3739217.2608540072</v>
      </c>
      <c r="M77" s="219">
        <f t="shared" ca="1" si="21"/>
        <v>-3739217.2608540072</v>
      </c>
      <c r="N77" s="219">
        <f t="shared" ca="1" si="21"/>
        <v>-3739217.2608540072</v>
      </c>
      <c r="O77" s="219">
        <f t="shared" ca="1" si="21"/>
        <v>-3739217.2608540072</v>
      </c>
      <c r="P77" s="219">
        <f t="shared" si="21"/>
        <v>0</v>
      </c>
      <c r="Q77" s="219">
        <f t="shared" si="21"/>
        <v>0</v>
      </c>
      <c r="R77" s="219">
        <f t="shared" si="21"/>
        <v>0</v>
      </c>
    </row>
    <row r="78" spans="1:18">
      <c r="B78" s="325" t="s">
        <v>438</v>
      </c>
      <c r="H78" s="219">
        <f ca="1">SUM(H76:H77)</f>
        <v>-3739217.2608540072</v>
      </c>
      <c r="I78" s="219">
        <f t="shared" ref="I78:Q78" ca="1" si="22">SUM(I76:I77)</f>
        <v>-3739217.2608540072</v>
      </c>
      <c r="J78" s="219">
        <f t="shared" ca="1" si="22"/>
        <v>-3739217.2608540072</v>
      </c>
      <c r="K78" s="219">
        <f t="shared" ca="1" si="22"/>
        <v>-3739217.2608540072</v>
      </c>
      <c r="L78" s="219">
        <f t="shared" ca="1" si="22"/>
        <v>-3739217.2608540072</v>
      </c>
      <c r="M78" s="219">
        <f t="shared" ca="1" si="22"/>
        <v>-3739217.2608540072</v>
      </c>
      <c r="N78" s="219">
        <f t="shared" ca="1" si="22"/>
        <v>-3739217.2608540072</v>
      </c>
      <c r="O78" s="219">
        <f t="shared" ca="1" si="22"/>
        <v>-55900022.71812848</v>
      </c>
      <c r="P78" s="219">
        <f t="shared" si="22"/>
        <v>0</v>
      </c>
      <c r="Q78" s="219">
        <f t="shared" si="22"/>
        <v>0</v>
      </c>
    </row>
    <row r="79" spans="1:18">
      <c r="A79" s="250"/>
      <c r="B79" s="251" t="s">
        <v>76</v>
      </c>
      <c r="C79" s="251"/>
      <c r="D79" s="251"/>
      <c r="E79" s="251"/>
      <c r="F79" s="251"/>
      <c r="G79" s="252">
        <f ca="1">SUM(G67,G75:G77)</f>
        <v>-34060442.417911768</v>
      </c>
      <c r="H79" s="252">
        <f t="shared" ref="H79:R79" ca="1" si="23">SUM(H67,H75:H77)</f>
        <v>129881.98443503678</v>
      </c>
      <c r="I79" s="252">
        <f t="shared" ca="1" si="23"/>
        <v>1376148.4439726709</v>
      </c>
      <c r="J79" s="252">
        <f t="shared" ca="1" si="23"/>
        <v>1492921.1300384351</v>
      </c>
      <c r="K79" s="252">
        <f t="shared" ca="1" si="23"/>
        <v>1611174.9251590003</v>
      </c>
      <c r="L79" s="252">
        <f t="shared" ca="1" si="23"/>
        <v>1730848.6329006911</v>
      </c>
      <c r="M79" s="252">
        <f t="shared" ca="1" si="23"/>
        <v>1851873.8098160154</v>
      </c>
      <c r="N79" s="252">
        <f t="shared" ca="1" si="23"/>
        <v>1974174.2729053744</v>
      </c>
      <c r="O79" s="252">
        <f t="shared" ca="1" si="23"/>
        <v>63488702.613170624</v>
      </c>
      <c r="P79" s="252">
        <f t="shared" si="23"/>
        <v>0</v>
      </c>
      <c r="Q79" s="252">
        <f t="shared" si="23"/>
        <v>0</v>
      </c>
      <c r="R79" s="252">
        <f t="shared" si="23"/>
        <v>0</v>
      </c>
    </row>
    <row r="80" spans="1:18" ht="16" thickBot="1"/>
    <row r="81" spans="1:18">
      <c r="B81" s="253" t="str">
        <f>B69</f>
        <v>Profit</v>
      </c>
      <c r="C81" s="254"/>
      <c r="D81" s="254"/>
      <c r="E81" s="254"/>
      <c r="F81" s="255">
        <f ca="1">SUM(G79:R79)</f>
        <v>39595283.394486085</v>
      </c>
    </row>
    <row r="82" spans="1:18">
      <c r="B82" s="256" t="str">
        <f t="shared" ref="B82:B85" si="24">B70</f>
        <v>PV</v>
      </c>
      <c r="F82" s="257">
        <f ca="1">NPV($M$32,H79:R79)</f>
        <v>42913618.950082451</v>
      </c>
    </row>
    <row r="83" spans="1:18">
      <c r="B83" s="256" t="str">
        <f t="shared" si="24"/>
        <v>NPV</v>
      </c>
      <c r="F83" s="257">
        <f ca="1">F82+G79</f>
        <v>8853176.5321706831</v>
      </c>
    </row>
    <row r="84" spans="1:18">
      <c r="B84" s="256" t="s">
        <v>77</v>
      </c>
      <c r="F84" s="263">
        <f ca="1">IRR(G79:R79)</f>
        <v>0.10930363761430573</v>
      </c>
    </row>
    <row r="85" spans="1:18" ht="16" thickBot="1">
      <c r="B85" s="260" t="str">
        <f t="shared" si="24"/>
        <v>Equity Multiple</v>
      </c>
      <c r="C85" s="261"/>
      <c r="D85" s="261"/>
      <c r="E85" s="261"/>
      <c r="F85" s="262">
        <f ca="1">(F81/-G79)+1</f>
        <v>2.1625005602881906</v>
      </c>
    </row>
    <row r="87" spans="1:18">
      <c r="A87" s="185" t="s">
        <v>1</v>
      </c>
      <c r="B87" s="216" t="s">
        <v>78</v>
      </c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</row>
    <row r="88" spans="1:18">
      <c r="B88" s="185" t="s">
        <v>79</v>
      </c>
      <c r="H88" s="264">
        <f ca="1">-H67/$G$67</f>
        <v>4.0489341347595964E-2</v>
      </c>
      <c r="I88" s="264">
        <f t="shared" ref="I88:R88" ca="1" si="25">-I67/$G$67</f>
        <v>5.3531267876546884E-2</v>
      </c>
      <c r="J88" s="264">
        <f t="shared" ca="1" si="25"/>
        <v>5.475327042712741E-2</v>
      </c>
      <c r="K88" s="264">
        <f t="shared" ca="1" si="25"/>
        <v>5.5990772484515845E-2</v>
      </c>
      <c r="L88" s="264">
        <f t="shared" ca="1" si="25"/>
        <v>5.7243133640406473E-2</v>
      </c>
      <c r="M88" s="264">
        <f t="shared" ca="1" si="25"/>
        <v>5.850963764795919E-2</v>
      </c>
      <c r="N88" s="264">
        <f t="shared" ca="1" si="25"/>
        <v>5.9789487267485862E-2</v>
      </c>
      <c r="O88" s="264">
        <f t="shared" ca="1" si="25"/>
        <v>1.2493788725836161</v>
      </c>
      <c r="P88" s="264">
        <f t="shared" ca="1" si="25"/>
        <v>0</v>
      </c>
      <c r="Q88" s="264">
        <f t="shared" ca="1" si="25"/>
        <v>0</v>
      </c>
      <c r="R88" s="264">
        <f t="shared" ca="1" si="25"/>
        <v>0</v>
      </c>
    </row>
    <row r="89" spans="1:18">
      <c r="B89" s="185" t="s">
        <v>80</v>
      </c>
      <c r="H89" s="264">
        <f ca="1">-H79/$G$79</f>
        <v>3.8132794295923237E-3</v>
      </c>
      <c r="I89" s="264">
        <f t="shared" ref="I89:R89" ca="1" si="26">-I79/$G$79</f>
        <v>4.040312885803795E-2</v>
      </c>
      <c r="J89" s="264">
        <f t="shared" ca="1" si="26"/>
        <v>4.3831524902722199E-2</v>
      </c>
      <c r="K89" s="264">
        <f t="shared" ca="1" si="26"/>
        <v>4.730340567483976E-2</v>
      </c>
      <c r="L89" s="264">
        <f t="shared" ca="1" si="26"/>
        <v>5.0816974473310697E-2</v>
      </c>
      <c r="M89" s="264">
        <f t="shared" ca="1" si="26"/>
        <v>5.437022182783359E-2</v>
      </c>
      <c r="N89" s="264">
        <f t="shared" ca="1" si="26"/>
        <v>5.7960911038172303E-2</v>
      </c>
      <c r="O89" s="264">
        <f t="shared" ca="1" si="26"/>
        <v>1.8640011140836816</v>
      </c>
      <c r="P89" s="264">
        <f t="shared" ca="1" si="26"/>
        <v>0</v>
      </c>
      <c r="Q89" s="264">
        <f t="shared" ca="1" si="26"/>
        <v>0</v>
      </c>
      <c r="R89" s="264">
        <f t="shared" ca="1" si="26"/>
        <v>0</v>
      </c>
    </row>
    <row r="90" spans="1:18">
      <c r="B90" s="185" t="s">
        <v>81</v>
      </c>
      <c r="H90" s="219">
        <f t="shared" ref="H90:R90" ca="1" si="27">-CUMPRINC($R$18/12,$R$19*12,$R$17,H44*12-11,H44*12,0)</f>
        <v>992102.49015147414</v>
      </c>
      <c r="I90" s="219">
        <f t="shared" ca="1" si="27"/>
        <v>1037679.5049713674</v>
      </c>
      <c r="J90" s="219">
        <f t="shared" ca="1" si="27"/>
        <v>1085350.3198779584</v>
      </c>
      <c r="K90" s="219">
        <f t="shared" ca="1" si="27"/>
        <v>1135211.1236809008</v>
      </c>
      <c r="L90" s="219">
        <f t="shared" ca="1" si="27"/>
        <v>1187362.5240869338</v>
      </c>
      <c r="M90" s="219">
        <f t="shared" ca="1" si="27"/>
        <v>1241909.7507032414</v>
      </c>
      <c r="N90" s="219">
        <f t="shared" ca="1" si="27"/>
        <v>1298962.8673667519</v>
      </c>
      <c r="O90" s="219">
        <f t="shared" ca="1" si="27"/>
        <v>1358636.994227804</v>
      </c>
      <c r="P90" s="219">
        <f t="shared" ca="1" si="27"/>
        <v>1421052.540036303</v>
      </c>
      <c r="Q90" s="219">
        <f t="shared" ca="1" si="27"/>
        <v>1486335.4450990574</v>
      </c>
      <c r="R90" s="219">
        <f t="shared" ca="1" si="27"/>
        <v>1554617.4353985367</v>
      </c>
    </row>
    <row r="91" spans="1:18">
      <c r="B91" s="185" t="s">
        <v>82</v>
      </c>
      <c r="H91" s="264">
        <f t="shared" ref="H91:R91" ca="1" si="28">IF(H44&lt;=$M$31,(H90+H79)/-$G$79,0)</f>
        <v>3.2940983585007098E-2</v>
      </c>
      <c r="I91" s="264">
        <f t="shared" ca="1" si="28"/>
        <v>7.0868954646186574E-2</v>
      </c>
      <c r="J91" s="264">
        <f t="shared" ca="1" si="28"/>
        <v>7.5696945397295462E-2</v>
      </c>
      <c r="K91" s="264">
        <f t="shared" ca="1" si="28"/>
        <v>8.063271801177857E-2</v>
      </c>
      <c r="L91" s="264">
        <f t="shared" ca="1" si="28"/>
        <v>8.5677429587731682E-2</v>
      </c>
      <c r="M91" s="264">
        <f t="shared" ca="1" si="28"/>
        <v>9.083216015104642E-2</v>
      </c>
      <c r="N91" s="264">
        <f t="shared" ca="1" si="28"/>
        <v>9.6097904428594366E-2</v>
      </c>
      <c r="O91" s="264">
        <f t="shared" ca="1" si="28"/>
        <v>1.9038901142780338</v>
      </c>
      <c r="P91" s="264">
        <f t="shared" si="28"/>
        <v>0</v>
      </c>
      <c r="Q91" s="264">
        <f t="shared" si="28"/>
        <v>0</v>
      </c>
      <c r="R91" s="264">
        <f t="shared" si="28"/>
        <v>0</v>
      </c>
    </row>
    <row r="92" spans="1:18">
      <c r="B92" s="185" t="s">
        <v>24</v>
      </c>
      <c r="H92" s="237">
        <f t="shared" ref="H92:R92" ca="1" si="29">IF(H44&lt;=$M$31,H63/-H77,0)</f>
        <v>1.0347350729776459</v>
      </c>
      <c r="I92" s="237">
        <f t="shared" ca="1" si="29"/>
        <v>1.3680311541080044</v>
      </c>
      <c r="J92" s="237">
        <f t="shared" ca="1" si="29"/>
        <v>1.3992603333504787</v>
      </c>
      <c r="K92" s="237">
        <f t="shared" ca="1" si="29"/>
        <v>1.4308856139562804</v>
      </c>
      <c r="L92" s="237">
        <f t="shared" ca="1" si="29"/>
        <v>1.4628906298173696</v>
      </c>
      <c r="M92" s="237">
        <f t="shared" ca="1" si="29"/>
        <v>1.4952570767158533</v>
      </c>
      <c r="N92" s="237">
        <f t="shared" ca="1" si="29"/>
        <v>1.5279645806016868</v>
      </c>
      <c r="O92" s="237">
        <f t="shared" ca="1" si="29"/>
        <v>1.5609905581885279</v>
      </c>
      <c r="P92" s="237">
        <f t="shared" si="29"/>
        <v>0</v>
      </c>
      <c r="Q92" s="237">
        <f t="shared" si="29"/>
        <v>0</v>
      </c>
      <c r="R92" s="237">
        <f t="shared" si="29"/>
        <v>0</v>
      </c>
    </row>
    <row r="93" spans="1:18">
      <c r="B93" s="185" t="s">
        <v>27</v>
      </c>
      <c r="H93" s="264">
        <f ca="1">H67/($G$75-SUM(H90:$H$90))</f>
        <v>6.3945798006375551E-2</v>
      </c>
      <c r="I93" s="264">
        <f ca="1">I67/($G$75-SUM($H90:I$90))</f>
        <v>8.6018449304094205E-2</v>
      </c>
      <c r="J93" s="264">
        <f ca="1">J67/($G$75-SUM($H90:J$90))</f>
        <v>8.9617668906788489E-2</v>
      </c>
      <c r="K93" s="264">
        <f ca="1">K67/($G$75-SUM($H90:K$90))</f>
        <v>9.3460423390269415E-2</v>
      </c>
      <c r="L93" s="264">
        <f ca="1">L67/($G$75-SUM($H90:L$90))</f>
        <v>9.7574654851051601E-2</v>
      </c>
      <c r="M93" s="264">
        <f ca="1">M67/($G$75-SUM($H90:M$90))</f>
        <v>0.10199295361015433</v>
      </c>
      <c r="N93" s="264">
        <f ca="1">N67/($G$75-SUM($H90:N$90))</f>
        <v>0.10675356976927985</v>
      </c>
      <c r="O93" s="264">
        <f ca="1">O67/($G$75-SUM($H90:O$90))</f>
        <v>2.2888589293179593</v>
      </c>
      <c r="P93" s="264">
        <f ca="1">P67/($G$75-SUM($H90:P$90))</f>
        <v>0</v>
      </c>
      <c r="Q93" s="264">
        <f ca="1">Q67/($G$75-SUM($H90:Q$90))</f>
        <v>0</v>
      </c>
      <c r="R93" s="264">
        <f ca="1">R67/($G$75-SUM($H90:R$90))</f>
        <v>0</v>
      </c>
    </row>
  </sheetData>
  <pageMargins left="0.7" right="0.7" top="0.75" bottom="0.75" header="0.3" footer="0.3"/>
  <pageSetup scale="41" orientation="portrait" r:id="rId1"/>
  <headerFooter>
    <oddHeader xml:space="preserve">&amp;L2019 ULI Hines Student Competition&amp;R2019-331 &amp;A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C86F8-700C-4E07-9F1C-9C7E95722A3C}">
  <sheetPr>
    <tabColor theme="9"/>
  </sheetPr>
  <dimension ref="A3:X92"/>
  <sheetViews>
    <sheetView showGridLines="0" view="pageBreakPreview" zoomScale="80" zoomScaleNormal="100" zoomScaleSheetLayoutView="80" workbookViewId="0">
      <selection activeCell="R23" sqref="R23"/>
    </sheetView>
  </sheetViews>
  <sheetFormatPr baseColWidth="10" defaultColWidth="12.5" defaultRowHeight="15"/>
  <cols>
    <col min="1" max="1" width="3.83203125" style="185" customWidth="1"/>
    <col min="2" max="2" width="1.83203125" style="185" customWidth="1"/>
    <col min="3" max="3" width="3.5" style="185" customWidth="1"/>
    <col min="4" max="4" width="6.5" style="185" bestFit="1" customWidth="1"/>
    <col min="5" max="5" width="12.5" style="185"/>
    <col min="6" max="6" width="16.6640625" style="185" bestFit="1" customWidth="1"/>
    <col min="7" max="7" width="17.5" style="185" bestFit="1" customWidth="1"/>
    <col min="8" max="16" width="15.6640625" style="185" bestFit="1" customWidth="1"/>
    <col min="17" max="17" width="17" style="185" bestFit="1" customWidth="1"/>
    <col min="18" max="18" width="14.83203125" style="185" bestFit="1" customWidth="1"/>
    <col min="19" max="19" width="15.33203125" style="185" bestFit="1" customWidth="1"/>
    <col min="20" max="20" width="14.33203125" style="187" customWidth="1"/>
    <col min="21" max="21" width="13.33203125" style="185" bestFit="1" customWidth="1"/>
    <col min="22" max="22" width="3.5" style="185" customWidth="1"/>
    <col min="23" max="24" width="12.5" style="185"/>
    <col min="25" max="16384" width="12.5" style="184"/>
  </cols>
  <sheetData>
    <row r="3" spans="1:21" s="185" customFormat="1">
      <c r="C3" s="286"/>
      <c r="D3" s="181" t="s">
        <v>41</v>
      </c>
      <c r="E3" s="181"/>
      <c r="F3" s="182" t="s">
        <v>425</v>
      </c>
      <c r="G3" s="182" t="s">
        <v>310</v>
      </c>
      <c r="T3" s="187"/>
    </row>
    <row r="4" spans="1:21" s="185" customFormat="1">
      <c r="C4" s="286"/>
      <c r="D4" s="185" t="s">
        <v>186</v>
      </c>
      <c r="F4" s="186"/>
      <c r="G4" s="186">
        <f>Assumptions!U17</f>
        <v>3065966.25</v>
      </c>
      <c r="T4" s="187"/>
    </row>
    <row r="5" spans="1:21" s="185" customFormat="1">
      <c r="C5" s="286"/>
      <c r="D5" s="185" t="s">
        <v>422</v>
      </c>
      <c r="F5" s="186">
        <f>Assumptions!E65</f>
        <v>220.56222205526404</v>
      </c>
      <c r="G5" s="186">
        <f ca="1">F5*$G$18</f>
        <v>30795029.780689199</v>
      </c>
      <c r="T5" s="187"/>
    </row>
    <row r="6" spans="1:21" s="185" customFormat="1">
      <c r="C6" s="286"/>
      <c r="D6" s="185" t="s">
        <v>423</v>
      </c>
      <c r="F6" s="186">
        <f>Assumptions!G65</f>
        <v>33.084333308289608</v>
      </c>
      <c r="G6" s="186">
        <f ca="1">F6*$G$18</f>
        <v>4619254.4671033798</v>
      </c>
      <c r="T6" s="187"/>
    </row>
    <row r="7" spans="1:21" s="185" customFormat="1">
      <c r="C7" s="286"/>
      <c r="D7" s="185" t="s">
        <v>187</v>
      </c>
      <c r="F7" s="186"/>
      <c r="G7" s="186">
        <f ca="1">Assumptions!V17</f>
        <v>878066.66638809291</v>
      </c>
      <c r="T7" s="187"/>
    </row>
    <row r="8" spans="1:21" s="185" customFormat="1">
      <c r="C8" s="286"/>
      <c r="D8" s="185" t="s">
        <v>424</v>
      </c>
      <c r="F8" s="186"/>
      <c r="G8" s="186"/>
      <c r="T8" s="187"/>
    </row>
    <row r="9" spans="1:21" s="185" customFormat="1">
      <c r="C9" s="286"/>
      <c r="F9" s="188"/>
      <c r="G9" s="186"/>
      <c r="T9" s="187"/>
    </row>
    <row r="10" spans="1:21" s="185" customFormat="1">
      <c r="C10" s="286"/>
      <c r="F10" s="187"/>
      <c r="G10" s="187"/>
      <c r="T10" s="187"/>
    </row>
    <row r="11" spans="1:21" s="185" customFormat="1">
      <c r="C11" s="286"/>
      <c r="F11" s="187"/>
      <c r="G11" s="187"/>
      <c r="T11" s="187"/>
    </row>
    <row r="12" spans="1:21" s="185" customFormat="1">
      <c r="C12" s="286"/>
      <c r="D12" s="304" t="s">
        <v>426</v>
      </c>
      <c r="E12" s="304"/>
      <c r="F12" s="305">
        <f ca="1">G12/G17</f>
        <v>378445.35734789103</v>
      </c>
      <c r="G12" s="305">
        <f ca="1">G4+G5+G6+G7+G8+G9</f>
        <v>39358317.164180666</v>
      </c>
      <c r="T12" s="187"/>
    </row>
    <row r="13" spans="1:21" s="185" customFormat="1">
      <c r="B13" s="287"/>
      <c r="T13" s="187"/>
    </row>
    <row r="14" spans="1:21" s="185" customFormat="1">
      <c r="B14" s="191" t="s">
        <v>83</v>
      </c>
      <c r="T14" s="187"/>
    </row>
    <row r="15" spans="1:21" s="185" customFormat="1">
      <c r="T15" s="187" t="s">
        <v>84</v>
      </c>
      <c r="U15" s="286" t="s">
        <v>85</v>
      </c>
    </row>
    <row r="16" spans="1:21" s="185" customFormat="1">
      <c r="A16" s="185" t="s">
        <v>1</v>
      </c>
      <c r="B16" s="216" t="s">
        <v>2</v>
      </c>
      <c r="C16" s="216"/>
      <c r="D16" s="216"/>
      <c r="E16" s="216"/>
      <c r="F16" s="216"/>
      <c r="G16" s="216"/>
      <c r="I16" s="216" t="s">
        <v>3</v>
      </c>
      <c r="J16" s="216"/>
      <c r="K16" s="216"/>
      <c r="L16" s="216"/>
      <c r="M16" s="216"/>
      <c r="O16" s="216" t="s">
        <v>4</v>
      </c>
      <c r="P16" s="216"/>
      <c r="Q16" s="216"/>
      <c r="R16" s="216"/>
      <c r="T16" s="278" t="s">
        <v>86</v>
      </c>
      <c r="U16" s="279">
        <v>0.3</v>
      </c>
    </row>
    <row r="17" spans="2:23" s="185" customFormat="1">
      <c r="B17" s="185" t="s">
        <v>5</v>
      </c>
      <c r="G17" s="217">
        <f ca="1">ROUNDDOWN(G20/G21,0)</f>
        <v>104</v>
      </c>
      <c r="I17" s="218" t="s">
        <v>6</v>
      </c>
      <c r="L17" s="288"/>
      <c r="O17" s="185" t="s">
        <v>7</v>
      </c>
      <c r="R17" s="219">
        <f ca="1">MAX(G27:G29)</f>
        <v>25582906.156717435</v>
      </c>
      <c r="T17" s="278" t="s">
        <v>87</v>
      </c>
      <c r="U17" s="280">
        <f>G4</f>
        <v>3065966.25</v>
      </c>
      <c r="W17" s="185" t="s">
        <v>100</v>
      </c>
    </row>
    <row r="18" spans="2:23" s="185" customFormat="1">
      <c r="B18" s="185" t="s">
        <v>8</v>
      </c>
      <c r="F18" s="220"/>
      <c r="G18" s="401">
        <f ca="1">Assumptions!P17</f>
        <v>139620.6</v>
      </c>
      <c r="I18" s="325" t="s">
        <v>50</v>
      </c>
      <c r="L18" s="276"/>
      <c r="M18" s="424">
        <v>978</v>
      </c>
      <c r="O18" s="185" t="s">
        <v>10</v>
      </c>
      <c r="R18" s="222">
        <v>4.4999999999999998E-2</v>
      </c>
      <c r="T18" s="278" t="s">
        <v>88</v>
      </c>
      <c r="U18" s="280">
        <f ca="1">G12-G4</f>
        <v>36292350.914180666</v>
      </c>
      <c r="W18" s="185" t="s">
        <v>101</v>
      </c>
    </row>
    <row r="19" spans="2:23" s="185" customFormat="1">
      <c r="B19" s="185" t="s">
        <v>11</v>
      </c>
      <c r="G19" s="289">
        <v>0.9</v>
      </c>
      <c r="I19" s="325" t="s">
        <v>444</v>
      </c>
      <c r="L19" s="276"/>
      <c r="M19" s="424">
        <v>1314</v>
      </c>
      <c r="O19" s="185" t="s">
        <v>13</v>
      </c>
      <c r="R19" s="224">
        <v>30</v>
      </c>
      <c r="T19" s="278" t="s">
        <v>89</v>
      </c>
      <c r="U19" s="281" t="s">
        <v>85</v>
      </c>
    </row>
    <row r="20" spans="2:23" s="185" customFormat="1">
      <c r="B20" s="185" t="s">
        <v>14</v>
      </c>
      <c r="G20" s="225">
        <f ca="1">G18*G19</f>
        <v>125658.54000000001</v>
      </c>
      <c r="I20" s="185" t="s">
        <v>18</v>
      </c>
      <c r="M20" s="223">
        <v>0.02</v>
      </c>
      <c r="O20" s="185" t="s">
        <v>16</v>
      </c>
      <c r="R20" s="219">
        <f ca="1">PMT(R18/12,R19*12,R17)</f>
        <v>-129624.82732262804</v>
      </c>
      <c r="S20" s="258"/>
      <c r="T20" s="278" t="s">
        <v>90</v>
      </c>
      <c r="U20" s="282">
        <f>IF(U19="Y", 30%, 0%)</f>
        <v>0.3</v>
      </c>
    </row>
    <row r="21" spans="2:23" s="185" customFormat="1">
      <c r="B21" s="185" t="s">
        <v>17</v>
      </c>
      <c r="G21" s="290">
        <v>1200</v>
      </c>
      <c r="I21" s="185" t="s">
        <v>20</v>
      </c>
      <c r="M21" s="223">
        <v>0.03</v>
      </c>
      <c r="T21" s="278" t="s">
        <v>91</v>
      </c>
      <c r="U21" s="283">
        <f ca="1">U17+(U18*(100%+U20))</f>
        <v>50246022.438434869</v>
      </c>
    </row>
    <row r="22" spans="2:23" s="185" customFormat="1">
      <c r="B22" s="325" t="s">
        <v>25</v>
      </c>
      <c r="G22" s="289">
        <v>0.5</v>
      </c>
      <c r="I22" s="185" t="s">
        <v>23</v>
      </c>
      <c r="M22" s="291">
        <v>6</v>
      </c>
      <c r="O22" s="185" t="s">
        <v>21</v>
      </c>
      <c r="R22" s="220">
        <v>0.65</v>
      </c>
      <c r="T22" s="278" t="s">
        <v>92</v>
      </c>
      <c r="U22" s="412">
        <v>0.04</v>
      </c>
    </row>
    <row r="23" spans="2:23" s="185" customFormat="1">
      <c r="B23" s="325" t="s">
        <v>443</v>
      </c>
      <c r="G23" s="289">
        <v>0.3</v>
      </c>
      <c r="I23" s="185" t="s">
        <v>26</v>
      </c>
      <c r="M23" s="230">
        <f ca="1">G17/M22</f>
        <v>17.333333333333332</v>
      </c>
      <c r="O23" s="185" t="s">
        <v>24</v>
      </c>
      <c r="R23" s="229">
        <v>1.2</v>
      </c>
      <c r="T23" s="278" t="s">
        <v>93</v>
      </c>
      <c r="U23" s="283">
        <f ca="1">U21*U22*U16</f>
        <v>602952.26926121849</v>
      </c>
    </row>
    <row r="24" spans="2:23" s="185" customFormat="1">
      <c r="B24" s="185" t="s">
        <v>28</v>
      </c>
      <c r="G24" s="232">
        <f ca="1">G17/1.5</f>
        <v>69.333333333333329</v>
      </c>
      <c r="I24" s="185" t="s">
        <v>29</v>
      </c>
      <c r="M24" s="292">
        <v>0.25</v>
      </c>
      <c r="O24" s="185" t="s">
        <v>27</v>
      </c>
      <c r="R24" s="220">
        <v>0.08</v>
      </c>
      <c r="T24" s="278" t="s">
        <v>94</v>
      </c>
      <c r="U24" s="283">
        <f ca="1">U23*10</f>
        <v>6029522.6926121851</v>
      </c>
    </row>
    <row r="25" spans="2:23" s="185" customFormat="1">
      <c r="G25" s="234"/>
      <c r="I25" s="185" t="s">
        <v>30</v>
      </c>
      <c r="M25" s="223">
        <v>0.02</v>
      </c>
      <c r="R25" s="220"/>
      <c r="T25" s="278" t="s">
        <v>95</v>
      </c>
      <c r="U25" s="283">
        <f ca="1">U24*99.99%</f>
        <v>6028919.7403429234</v>
      </c>
    </row>
    <row r="26" spans="2:23" s="185" customFormat="1">
      <c r="B26" s="216" t="s">
        <v>38</v>
      </c>
      <c r="C26" s="216"/>
      <c r="D26" s="216"/>
      <c r="E26" s="216"/>
      <c r="F26" s="216"/>
      <c r="G26" s="216"/>
      <c r="I26" s="185" t="s">
        <v>31</v>
      </c>
      <c r="L26" s="276">
        <v>0.32</v>
      </c>
      <c r="M26" s="393">
        <f>1.7529/100</f>
        <v>1.7528999999999999E-2</v>
      </c>
      <c r="R26" s="221"/>
      <c r="T26" s="278" t="s">
        <v>96</v>
      </c>
      <c r="U26" s="284">
        <v>0.98</v>
      </c>
    </row>
    <row r="27" spans="2:23" s="185" customFormat="1">
      <c r="B27" s="185" t="s">
        <v>21</v>
      </c>
      <c r="G27" s="242">
        <f ca="1">R22*R34</f>
        <v>25582906.156717435</v>
      </c>
      <c r="I27" s="185" t="s">
        <v>33</v>
      </c>
      <c r="M27" s="223">
        <v>0.02</v>
      </c>
      <c r="O27" s="216" t="s">
        <v>32</v>
      </c>
      <c r="P27" s="216"/>
      <c r="Q27" s="216"/>
      <c r="R27" s="216"/>
      <c r="T27" s="278" t="s">
        <v>97</v>
      </c>
      <c r="U27" s="283">
        <f ca="1">IF(U15="Y",U25*U26, 0)</f>
        <v>5908341.3455360653</v>
      </c>
    </row>
    <row r="28" spans="2:23" s="185" customFormat="1">
      <c r="B28" s="185" t="s">
        <v>24</v>
      </c>
      <c r="G28" s="219">
        <f ca="1">H62/R24</f>
        <v>5359925.3750496395</v>
      </c>
      <c r="I28" s="185" t="s">
        <v>35</v>
      </c>
      <c r="K28" s="237"/>
      <c r="L28" s="276">
        <v>0.5</v>
      </c>
      <c r="M28" s="242">
        <f>L28*'Phase I - CF MF Market Rental'!M29</f>
        <v>500</v>
      </c>
      <c r="O28" s="185" t="s">
        <v>34</v>
      </c>
      <c r="Q28" s="236">
        <f ca="1">R28/$R$31</f>
        <v>0.2078052310401089</v>
      </c>
      <c r="R28" s="219">
        <f ca="1">R36-R30-R29</f>
        <v>8260652.8335689707</v>
      </c>
      <c r="T28" s="187"/>
    </row>
    <row r="29" spans="2:23" s="185" customFormat="1">
      <c r="B29" s="185" t="s">
        <v>27</v>
      </c>
      <c r="G29" s="219">
        <f ca="1">PV(R18/12,R19*12,-H62/R23/12,0)</f>
        <v>5876894.9123377474</v>
      </c>
      <c r="I29" s="185" t="s">
        <v>36</v>
      </c>
      <c r="K29" s="237"/>
      <c r="M29" s="220">
        <v>0.1</v>
      </c>
      <c r="O29" s="185" t="s">
        <v>98</v>
      </c>
      <c r="Q29" s="236">
        <f t="shared" ref="Q29:Q30" ca="1" si="0">R29/$R$31</f>
        <v>0.14863041252424747</v>
      </c>
      <c r="R29" s="219">
        <f ca="1">U27</f>
        <v>5908341.3455360653</v>
      </c>
      <c r="T29" s="187"/>
    </row>
    <row r="30" spans="2:23" s="185" customFormat="1" ht="16" thickBot="1">
      <c r="I30" s="185" t="s">
        <v>39</v>
      </c>
      <c r="K30" s="237"/>
      <c r="M30" s="224">
        <v>8</v>
      </c>
      <c r="O30" s="238" t="s">
        <v>7</v>
      </c>
      <c r="P30" s="238"/>
      <c r="Q30" s="236">
        <f t="shared" ca="1" si="0"/>
        <v>0.64356435643564369</v>
      </c>
      <c r="R30" s="240">
        <f ca="1">R17</f>
        <v>25582906.156717435</v>
      </c>
      <c r="T30" s="187"/>
    </row>
    <row r="31" spans="2:23" s="185" customFormat="1" ht="16" thickBot="1">
      <c r="G31" s="241"/>
      <c r="I31" s="185" t="s">
        <v>40</v>
      </c>
      <c r="K31" s="237"/>
      <c r="M31" s="220">
        <v>7.4999999999999997E-2</v>
      </c>
      <c r="O31" s="185" t="s">
        <v>37</v>
      </c>
      <c r="Q31" s="293">
        <f ca="1">SUM(Q28:Q30)</f>
        <v>1</v>
      </c>
      <c r="R31" s="219">
        <f ca="1">SUM(R28:R30)</f>
        <v>39751900.33582247</v>
      </c>
      <c r="S31" s="294">
        <f ca="1">R36-SUM(R28:R30)</f>
        <v>0</v>
      </c>
      <c r="T31" s="185" t="s">
        <v>99</v>
      </c>
    </row>
    <row r="32" spans="2:23" s="185" customFormat="1">
      <c r="I32" s="185" t="s">
        <v>42</v>
      </c>
      <c r="M32" s="222">
        <v>5.2499999999999998E-2</v>
      </c>
      <c r="T32" s="187"/>
    </row>
    <row r="33" spans="1:24">
      <c r="O33" s="216" t="s">
        <v>41</v>
      </c>
      <c r="P33" s="216"/>
      <c r="Q33" s="216"/>
      <c r="R33" s="216"/>
    </row>
    <row r="34" spans="1:24">
      <c r="O34" s="185" t="s">
        <v>43</v>
      </c>
      <c r="R34" s="402">
        <f ca="1">G12</f>
        <v>39358317.164180666</v>
      </c>
    </row>
    <row r="35" spans="1:24">
      <c r="O35" s="238" t="s">
        <v>44</v>
      </c>
      <c r="P35" s="238"/>
      <c r="Q35" s="310">
        <v>0.01</v>
      </c>
      <c r="R35" s="240">
        <f ca="1">R34*Q35</f>
        <v>393583.17164180666</v>
      </c>
    </row>
    <row r="36" spans="1:24">
      <c r="O36" s="185" t="s">
        <v>45</v>
      </c>
      <c r="R36" s="219">
        <f ca="1">SUM(R34:R35)</f>
        <v>39751900.33582247</v>
      </c>
    </row>
    <row r="38" spans="1:24">
      <c r="A38" s="185" t="s">
        <v>1</v>
      </c>
      <c r="B38" s="216" t="s">
        <v>46</v>
      </c>
      <c r="C38" s="216"/>
      <c r="D38" s="216"/>
      <c r="E38" s="216"/>
      <c r="F38" s="243"/>
      <c r="G38" s="243">
        <f>F38+1</f>
        <v>1</v>
      </c>
      <c r="H38" s="243">
        <f>G38+1</f>
        <v>2</v>
      </c>
      <c r="I38" s="243">
        <f t="shared" ref="I38:R38" si="1">H38+1</f>
        <v>3</v>
      </c>
      <c r="J38" s="243">
        <f t="shared" si="1"/>
        <v>4</v>
      </c>
      <c r="K38" s="243">
        <f t="shared" si="1"/>
        <v>5</v>
      </c>
      <c r="L38" s="243">
        <f t="shared" si="1"/>
        <v>6</v>
      </c>
      <c r="M38" s="243">
        <f t="shared" si="1"/>
        <v>7</v>
      </c>
      <c r="N38" s="243">
        <f t="shared" si="1"/>
        <v>8</v>
      </c>
      <c r="O38" s="243">
        <f t="shared" si="1"/>
        <v>9</v>
      </c>
      <c r="P38" s="243">
        <f t="shared" si="1"/>
        <v>10</v>
      </c>
      <c r="Q38" s="243">
        <f t="shared" si="1"/>
        <v>11</v>
      </c>
      <c r="R38" s="243">
        <f t="shared" si="1"/>
        <v>12</v>
      </c>
    </row>
    <row r="39" spans="1:24">
      <c r="B39" s="218" t="s">
        <v>47</v>
      </c>
    </row>
    <row r="40" spans="1:24">
      <c r="B40" s="325" t="s">
        <v>49</v>
      </c>
      <c r="G40" s="219">
        <f t="shared" ref="G40:R40" ca="1" si="2">IF(G38&gt;=$M$22,$M$18*$M$23*$G$22*($L$38),$M$18*$G$22*(G$38*$M$23))</f>
        <v>8476</v>
      </c>
      <c r="H40" s="219">
        <f t="shared" ca="1" si="2"/>
        <v>16952</v>
      </c>
      <c r="I40" s="219">
        <f t="shared" ca="1" si="2"/>
        <v>25428</v>
      </c>
      <c r="J40" s="219">
        <f t="shared" ca="1" si="2"/>
        <v>33904</v>
      </c>
      <c r="K40" s="219">
        <f t="shared" ca="1" si="2"/>
        <v>42379.999999999993</v>
      </c>
      <c r="L40" s="219">
        <f t="shared" ca="1" si="2"/>
        <v>50856</v>
      </c>
      <c r="M40" s="219">
        <f t="shared" ca="1" si="2"/>
        <v>50856</v>
      </c>
      <c r="N40" s="219">
        <f t="shared" ca="1" si="2"/>
        <v>50856</v>
      </c>
      <c r="O40" s="219">
        <f t="shared" ca="1" si="2"/>
        <v>50856</v>
      </c>
      <c r="P40" s="219">
        <f t="shared" ca="1" si="2"/>
        <v>50856</v>
      </c>
      <c r="Q40" s="219">
        <f t="shared" ca="1" si="2"/>
        <v>50856</v>
      </c>
      <c r="R40" s="219">
        <f t="shared" ca="1" si="2"/>
        <v>50856</v>
      </c>
    </row>
    <row r="41" spans="1:24">
      <c r="B41" s="185" t="s">
        <v>50</v>
      </c>
      <c r="G41" s="219">
        <f t="shared" ref="G41:R41" ca="1" si="3">IF(G38&gt;=$M$22,$M$19*$M$23*$G$23*($L$38),$M$19*$G$23*(G$38*$M$23))</f>
        <v>6832.7999999999993</v>
      </c>
      <c r="H41" s="219">
        <f t="shared" ca="1" si="3"/>
        <v>13665.599999999999</v>
      </c>
      <c r="I41" s="219">
        <f t="shared" ca="1" si="3"/>
        <v>20498.399999999998</v>
      </c>
      <c r="J41" s="219">
        <f t="shared" ca="1" si="3"/>
        <v>27331.199999999997</v>
      </c>
      <c r="K41" s="219">
        <f t="shared" ca="1" si="3"/>
        <v>34163.999999999993</v>
      </c>
      <c r="L41" s="219">
        <f t="shared" ca="1" si="3"/>
        <v>40996.800000000003</v>
      </c>
      <c r="M41" s="219">
        <f t="shared" ca="1" si="3"/>
        <v>40996.800000000003</v>
      </c>
      <c r="N41" s="219">
        <f t="shared" ca="1" si="3"/>
        <v>40996.800000000003</v>
      </c>
      <c r="O41" s="219">
        <f t="shared" ca="1" si="3"/>
        <v>40996.800000000003</v>
      </c>
      <c r="P41" s="219">
        <f t="shared" ca="1" si="3"/>
        <v>40996.800000000003</v>
      </c>
      <c r="Q41" s="219">
        <f t="shared" ca="1" si="3"/>
        <v>40996.800000000003</v>
      </c>
      <c r="R41" s="219">
        <f t="shared" ca="1" si="3"/>
        <v>40996.800000000003</v>
      </c>
    </row>
    <row r="42" spans="1:24">
      <c r="B42" s="244" t="s">
        <v>37</v>
      </c>
      <c r="C42" s="244"/>
      <c r="D42" s="244"/>
      <c r="E42" s="244"/>
      <c r="F42" s="244"/>
      <c r="G42" s="245">
        <f t="shared" ref="G42:R42" ca="1" si="4">SUM(G40:G41)</f>
        <v>15308.8</v>
      </c>
      <c r="H42" s="245">
        <f t="shared" ca="1" si="4"/>
        <v>30617.599999999999</v>
      </c>
      <c r="I42" s="245">
        <f t="shared" ca="1" si="4"/>
        <v>45926.399999999994</v>
      </c>
      <c r="J42" s="245">
        <f t="shared" ca="1" si="4"/>
        <v>61235.199999999997</v>
      </c>
      <c r="K42" s="245">
        <f t="shared" ca="1" si="4"/>
        <v>76543.999999999985</v>
      </c>
      <c r="L42" s="245">
        <f t="shared" ca="1" si="4"/>
        <v>91852.800000000003</v>
      </c>
      <c r="M42" s="245">
        <f t="shared" ca="1" si="4"/>
        <v>91852.800000000003</v>
      </c>
      <c r="N42" s="245">
        <f t="shared" ca="1" si="4"/>
        <v>91852.800000000003</v>
      </c>
      <c r="O42" s="245">
        <f t="shared" ca="1" si="4"/>
        <v>91852.800000000003</v>
      </c>
      <c r="P42" s="245">
        <f t="shared" ca="1" si="4"/>
        <v>91852.800000000003</v>
      </c>
      <c r="Q42" s="245">
        <f t="shared" ca="1" si="4"/>
        <v>91852.800000000003</v>
      </c>
      <c r="R42" s="245">
        <f t="shared" ca="1" si="4"/>
        <v>91852.800000000003</v>
      </c>
    </row>
    <row r="44" spans="1:24">
      <c r="A44" s="185" t="s">
        <v>1</v>
      </c>
      <c r="B44" s="216" t="s">
        <v>51</v>
      </c>
      <c r="C44" s="216"/>
      <c r="D44" s="216"/>
      <c r="E44" s="216"/>
      <c r="F44" s="216"/>
      <c r="G44" s="246">
        <v>0</v>
      </c>
      <c r="H44" s="246">
        <f>G44+1</f>
        <v>1</v>
      </c>
      <c r="I44" s="246">
        <f t="shared" ref="I44:R44" si="5">H44+1</f>
        <v>2</v>
      </c>
      <c r="J44" s="246">
        <f t="shared" si="5"/>
        <v>3</v>
      </c>
      <c r="K44" s="246">
        <f t="shared" si="5"/>
        <v>4</v>
      </c>
      <c r="L44" s="246">
        <f t="shared" si="5"/>
        <v>5</v>
      </c>
      <c r="M44" s="246">
        <f t="shared" si="5"/>
        <v>6</v>
      </c>
      <c r="N44" s="246">
        <f t="shared" si="5"/>
        <v>7</v>
      </c>
      <c r="O44" s="246">
        <f t="shared" si="5"/>
        <v>8</v>
      </c>
      <c r="P44" s="246">
        <f t="shared" si="5"/>
        <v>9</v>
      </c>
      <c r="Q44" s="246">
        <f t="shared" si="5"/>
        <v>10</v>
      </c>
      <c r="R44" s="246">
        <f t="shared" si="5"/>
        <v>11</v>
      </c>
      <c r="S44" s="246"/>
      <c r="T44" s="295"/>
      <c r="U44" s="246"/>
      <c r="V44" s="246"/>
      <c r="W44" s="246"/>
      <c r="X44" s="246"/>
    </row>
    <row r="45" spans="1:24">
      <c r="B45" s="247" t="s">
        <v>52</v>
      </c>
      <c r="C45" s="247"/>
      <c r="D45" s="247"/>
      <c r="E45" s="247"/>
      <c r="F45" s="247"/>
      <c r="G45" s="247"/>
      <c r="H45" s="248">
        <f t="shared" ref="H45:R45" si="6">1-$M$20</f>
        <v>0.98</v>
      </c>
      <c r="I45" s="248">
        <f t="shared" si="6"/>
        <v>0.98</v>
      </c>
      <c r="J45" s="248">
        <f t="shared" si="6"/>
        <v>0.98</v>
      </c>
      <c r="K45" s="248">
        <f t="shared" si="6"/>
        <v>0.98</v>
      </c>
      <c r="L45" s="248">
        <f t="shared" si="6"/>
        <v>0.98</v>
      </c>
      <c r="M45" s="248">
        <f t="shared" si="6"/>
        <v>0.98</v>
      </c>
      <c r="N45" s="248">
        <f t="shared" si="6"/>
        <v>0.98</v>
      </c>
      <c r="O45" s="248">
        <f t="shared" si="6"/>
        <v>0.98</v>
      </c>
      <c r="P45" s="248">
        <f t="shared" si="6"/>
        <v>0.98</v>
      </c>
      <c r="Q45" s="248">
        <f t="shared" si="6"/>
        <v>0.98</v>
      </c>
      <c r="R45" s="248">
        <f t="shared" si="6"/>
        <v>0.98</v>
      </c>
      <c r="S45" s="248"/>
      <c r="T45" s="296"/>
      <c r="U45" s="248"/>
      <c r="V45" s="248"/>
      <c r="W45" s="248"/>
      <c r="X45" s="248"/>
    </row>
    <row r="46" spans="1:24"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188"/>
      <c r="U46" s="236"/>
      <c r="V46" s="236"/>
      <c r="W46" s="236"/>
      <c r="X46" s="236"/>
    </row>
    <row r="47" spans="1:24">
      <c r="B47" s="185" t="s">
        <v>43</v>
      </c>
      <c r="G47" s="219">
        <f ca="1">-R36</f>
        <v>-39751900.33582247</v>
      </c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188"/>
      <c r="U47" s="236"/>
      <c r="V47" s="236"/>
      <c r="W47" s="236"/>
      <c r="X47" s="236"/>
    </row>
    <row r="49" spans="2:24">
      <c r="B49" s="247" t="s">
        <v>53</v>
      </c>
      <c r="G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189"/>
      <c r="U49" s="219"/>
      <c r="V49" s="219"/>
      <c r="W49" s="219"/>
      <c r="X49" s="219"/>
    </row>
    <row r="50" spans="2:24">
      <c r="B50" s="185" t="s">
        <v>55</v>
      </c>
      <c r="G50" s="219"/>
      <c r="H50" s="219">
        <f ca="1">SUM(G40:R40)</f>
        <v>483132</v>
      </c>
      <c r="I50" s="219">
        <f t="shared" ref="I50:R50" ca="1" si="7">$G$17*$G$22*$M$18*(1+$M$21)^H44*12</f>
        <v>628580.16</v>
      </c>
      <c r="J50" s="219">
        <f t="shared" ca="1" si="7"/>
        <v>647437.56479999993</v>
      </c>
      <c r="K50" s="219">
        <f t="shared" ca="1" si="7"/>
        <v>666860.69174399995</v>
      </c>
      <c r="L50" s="219">
        <f t="shared" ca="1" si="7"/>
        <v>686866.51249631995</v>
      </c>
      <c r="M50" s="219">
        <f t="shared" ca="1" si="7"/>
        <v>707472.50787120953</v>
      </c>
      <c r="N50" s="219">
        <f t="shared" ca="1" si="7"/>
        <v>728696.68310734583</v>
      </c>
      <c r="O50" s="219">
        <f t="shared" ca="1" si="7"/>
        <v>750557.58360056626</v>
      </c>
      <c r="P50" s="219">
        <f t="shared" ca="1" si="7"/>
        <v>773074.31110858312</v>
      </c>
      <c r="Q50" s="219">
        <f t="shared" ca="1" si="7"/>
        <v>796266.54044184065</v>
      </c>
      <c r="R50" s="219">
        <f t="shared" ca="1" si="7"/>
        <v>820154.53665509587</v>
      </c>
      <c r="S50" s="219"/>
      <c r="T50" s="189"/>
      <c r="U50" s="219"/>
      <c r="V50" s="219"/>
      <c r="W50" s="219"/>
      <c r="X50" s="219"/>
    </row>
    <row r="51" spans="2:24">
      <c r="B51" s="185" t="s">
        <v>56</v>
      </c>
      <c r="G51" s="219"/>
      <c r="H51" s="219">
        <f ca="1">SUM(G41:R41)</f>
        <v>389469.59999999992</v>
      </c>
      <c r="I51" s="219">
        <f t="shared" ref="I51:R51" ca="1" si="8">$G$17*$G$23*$M$19*(1+$M$21)^H44*12</f>
        <v>506720.44799999997</v>
      </c>
      <c r="J51" s="219">
        <f t="shared" ca="1" si="8"/>
        <v>521922.06143999996</v>
      </c>
      <c r="K51" s="219">
        <f t="shared" ca="1" si="8"/>
        <v>537579.72328319994</v>
      </c>
      <c r="L51" s="219">
        <f t="shared" ca="1" si="8"/>
        <v>553707.11498169589</v>
      </c>
      <c r="M51" s="219">
        <f t="shared" ca="1" si="8"/>
        <v>570318.32843114669</v>
      </c>
      <c r="N51" s="219">
        <f t="shared" ca="1" si="8"/>
        <v>587427.87828408112</v>
      </c>
      <c r="O51" s="219">
        <f t="shared" ca="1" si="8"/>
        <v>605050.71463260369</v>
      </c>
      <c r="P51" s="219">
        <f t="shared" ca="1" si="8"/>
        <v>623202.23607158172</v>
      </c>
      <c r="Q51" s="219">
        <f t="shared" ca="1" si="8"/>
        <v>641898.30315372918</v>
      </c>
      <c r="R51" s="219">
        <f t="shared" ca="1" si="8"/>
        <v>661155.25224834098</v>
      </c>
      <c r="S51" s="219"/>
      <c r="T51" s="189"/>
      <c r="U51" s="219"/>
      <c r="V51" s="219"/>
      <c r="W51" s="219"/>
      <c r="X51" s="184"/>
    </row>
    <row r="52" spans="2:24">
      <c r="B52" s="247" t="s">
        <v>57</v>
      </c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189"/>
      <c r="U52" s="219"/>
      <c r="V52" s="219"/>
      <c r="W52" s="219"/>
      <c r="X52" s="184"/>
    </row>
    <row r="53" spans="2:24">
      <c r="B53" s="185" t="s">
        <v>58</v>
      </c>
      <c r="G53" s="219"/>
      <c r="H53" s="219">
        <f t="shared" ref="H53:R53" ca="1" si="9">$G$24*$M$28*(1+$M$21)^G44</f>
        <v>34666.666666666664</v>
      </c>
      <c r="I53" s="219">
        <f t="shared" ca="1" si="9"/>
        <v>35706.666666666664</v>
      </c>
      <c r="J53" s="219">
        <f t="shared" ca="1" si="9"/>
        <v>36777.866666666661</v>
      </c>
      <c r="K53" s="219">
        <f t="shared" ca="1" si="9"/>
        <v>37881.202666666664</v>
      </c>
      <c r="L53" s="219">
        <f t="shared" ca="1" si="9"/>
        <v>39017.638746666664</v>
      </c>
      <c r="M53" s="219">
        <f t="shared" ca="1" si="9"/>
        <v>40188.167909066658</v>
      </c>
      <c r="N53" s="219">
        <f t="shared" ca="1" si="9"/>
        <v>41393.812946338658</v>
      </c>
      <c r="O53" s="219">
        <f t="shared" ca="1" si="9"/>
        <v>42635.627334728822</v>
      </c>
      <c r="P53" s="219">
        <f t="shared" ca="1" si="9"/>
        <v>43914.696154770681</v>
      </c>
      <c r="Q53" s="219">
        <f t="shared" ca="1" si="9"/>
        <v>45232.137039413807</v>
      </c>
      <c r="R53" s="219">
        <f t="shared" ca="1" si="9"/>
        <v>46589.101150596216</v>
      </c>
      <c r="S53" s="219"/>
      <c r="T53" s="189"/>
      <c r="U53" s="219"/>
      <c r="V53" s="219"/>
      <c r="W53" s="219"/>
      <c r="X53" s="184"/>
    </row>
    <row r="54" spans="2:24">
      <c r="B54" s="244" t="s">
        <v>59</v>
      </c>
      <c r="C54" s="244"/>
      <c r="D54" s="244"/>
      <c r="E54" s="244"/>
      <c r="F54" s="244"/>
      <c r="G54" s="245"/>
      <c r="H54" s="245">
        <f t="shared" ref="H54:R54" ca="1" si="10">SUM(H48:H53)</f>
        <v>907268.26666666649</v>
      </c>
      <c r="I54" s="245">
        <f t="shared" ca="1" si="10"/>
        <v>1171007.2746666668</v>
      </c>
      <c r="J54" s="245">
        <f t="shared" ca="1" si="10"/>
        <v>1206137.4929066666</v>
      </c>
      <c r="K54" s="245">
        <f t="shared" ca="1" si="10"/>
        <v>1242321.6176938664</v>
      </c>
      <c r="L54" s="245">
        <f t="shared" ca="1" si="10"/>
        <v>1279591.2662246826</v>
      </c>
      <c r="M54" s="245">
        <f t="shared" ca="1" si="10"/>
        <v>1317979.004211423</v>
      </c>
      <c r="N54" s="245">
        <f t="shared" ca="1" si="10"/>
        <v>1357518.3743377656</v>
      </c>
      <c r="O54" s="245">
        <f t="shared" ca="1" si="10"/>
        <v>1398243.9255678989</v>
      </c>
      <c r="P54" s="245">
        <f t="shared" ca="1" si="10"/>
        <v>1440191.2433349355</v>
      </c>
      <c r="Q54" s="245">
        <f t="shared" ca="1" si="10"/>
        <v>1483396.9806349839</v>
      </c>
      <c r="R54" s="245">
        <f t="shared" ca="1" si="10"/>
        <v>1527898.8900540331</v>
      </c>
      <c r="S54" s="245"/>
      <c r="T54" s="297"/>
      <c r="U54" s="245"/>
      <c r="V54" s="245"/>
      <c r="W54" s="245"/>
      <c r="X54" s="184"/>
    </row>
    <row r="55" spans="2:24"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189"/>
      <c r="U55" s="219"/>
      <c r="V55" s="219"/>
      <c r="W55" s="219"/>
      <c r="X55" s="184"/>
    </row>
    <row r="56" spans="2:24">
      <c r="B56" s="238" t="s">
        <v>60</v>
      </c>
      <c r="C56" s="238"/>
      <c r="D56" s="238"/>
      <c r="E56" s="238"/>
      <c r="F56" s="238"/>
      <c r="G56" s="238"/>
      <c r="H56" s="240">
        <f t="shared" ref="H56:R56" ca="1" si="11">-(1-H45)*SUM(H50:H51)</f>
        <v>-17452.032000000014</v>
      </c>
      <c r="I56" s="240">
        <f t="shared" ca="1" si="11"/>
        <v>-22706.01216000002</v>
      </c>
      <c r="J56" s="240">
        <f t="shared" ca="1" si="11"/>
        <v>-23387.192524800019</v>
      </c>
      <c r="K56" s="240">
        <f t="shared" ca="1" si="11"/>
        <v>-24088.808300544017</v>
      </c>
      <c r="L56" s="240">
        <f t="shared" ca="1" si="11"/>
        <v>-24811.472549560338</v>
      </c>
      <c r="M56" s="240">
        <f t="shared" ca="1" si="11"/>
        <v>-25555.816726047149</v>
      </c>
      <c r="N56" s="240">
        <f t="shared" ca="1" si="11"/>
        <v>-26322.491227828563</v>
      </c>
      <c r="O56" s="240">
        <f t="shared" ca="1" si="11"/>
        <v>-27112.165964663425</v>
      </c>
      <c r="P56" s="240">
        <f t="shared" ca="1" si="11"/>
        <v>-27925.53094360332</v>
      </c>
      <c r="Q56" s="240">
        <f t="shared" ca="1" si="11"/>
        <v>-28763.296871911425</v>
      </c>
      <c r="R56" s="240">
        <f t="shared" ca="1" si="11"/>
        <v>-29626.195778068763</v>
      </c>
      <c r="S56" s="240"/>
      <c r="T56" s="298"/>
      <c r="U56" s="240"/>
      <c r="V56" s="240"/>
      <c r="W56" s="240"/>
      <c r="X56" s="184"/>
    </row>
    <row r="57" spans="2:24">
      <c r="B57" s="185" t="s">
        <v>61</v>
      </c>
      <c r="H57" s="219">
        <f ca="1">SUM(H54:H56)</f>
        <v>889816.23466666648</v>
      </c>
      <c r="I57" s="219">
        <f t="shared" ref="I57:R57" ca="1" si="12">SUM(I54:I56)</f>
        <v>1148301.2625066668</v>
      </c>
      <c r="J57" s="219">
        <f t="shared" ca="1" si="12"/>
        <v>1182750.3003818665</v>
      </c>
      <c r="K57" s="219">
        <f t="shared" ca="1" si="12"/>
        <v>1218232.8093933223</v>
      </c>
      <c r="L57" s="219">
        <f t="shared" ca="1" si="12"/>
        <v>1254779.7936751223</v>
      </c>
      <c r="M57" s="219">
        <f t="shared" ca="1" si="12"/>
        <v>1292423.1874853759</v>
      </c>
      <c r="N57" s="219">
        <f t="shared" ca="1" si="12"/>
        <v>1331195.883109937</v>
      </c>
      <c r="O57" s="219">
        <f t="shared" ca="1" si="12"/>
        <v>1371131.7596032354</v>
      </c>
      <c r="P57" s="219">
        <f t="shared" ca="1" si="12"/>
        <v>1412265.7123913323</v>
      </c>
      <c r="Q57" s="219">
        <f t="shared" ca="1" si="12"/>
        <v>1454633.6837630724</v>
      </c>
      <c r="R57" s="219">
        <f t="shared" ca="1" si="12"/>
        <v>1498272.6942759643</v>
      </c>
      <c r="S57" s="219"/>
      <c r="T57" s="189"/>
      <c r="U57" s="219"/>
      <c r="V57" s="219"/>
      <c r="W57" s="219"/>
      <c r="X57" s="184"/>
    </row>
    <row r="58" spans="2:24">
      <c r="X58" s="184"/>
    </row>
    <row r="59" spans="2:24">
      <c r="B59" s="185" t="s">
        <v>62</v>
      </c>
      <c r="H59" s="219">
        <f t="shared" ref="H59:R59" ca="1" si="13">-($M$24*H57)*(1+$M$25)^G44</f>
        <v>-222454.05866666662</v>
      </c>
      <c r="I59" s="219">
        <f t="shared" ca="1" si="13"/>
        <v>-292816.82193920005</v>
      </c>
      <c r="J59" s="219">
        <f t="shared" ca="1" si="13"/>
        <v>-307633.35312932346</v>
      </c>
      <c r="K59" s="219">
        <f t="shared" ca="1" si="13"/>
        <v>-323199.60079766717</v>
      </c>
      <c r="L59" s="219">
        <f t="shared" ca="1" si="13"/>
        <v>-339553.50059802923</v>
      </c>
      <c r="M59" s="219">
        <f t="shared" ca="1" si="13"/>
        <v>-356734.90772828949</v>
      </c>
      <c r="N59" s="219">
        <f t="shared" ca="1" si="13"/>
        <v>-374785.69405934092</v>
      </c>
      <c r="O59" s="219">
        <f t="shared" ca="1" si="13"/>
        <v>-393749.8501787436</v>
      </c>
      <c r="P59" s="219">
        <f t="shared" ca="1" si="13"/>
        <v>-413673.59259778797</v>
      </c>
      <c r="Q59" s="219">
        <f t="shared" ca="1" si="13"/>
        <v>-434605.47638323606</v>
      </c>
      <c r="R59" s="219">
        <f t="shared" ca="1" si="13"/>
        <v>-456596.51348822779</v>
      </c>
      <c r="S59" s="219"/>
      <c r="T59" s="189"/>
      <c r="U59" s="219"/>
      <c r="V59" s="219"/>
      <c r="W59" s="219"/>
      <c r="X59" s="184"/>
    </row>
    <row r="60" spans="2:24">
      <c r="B60" s="185" t="s">
        <v>31</v>
      </c>
      <c r="H60" s="219">
        <f ca="1">-$G$12*$L$26*$M$26*(1+$M$25)^G44</f>
        <v>-220771.82130269532</v>
      </c>
      <c r="I60" s="219">
        <f ca="1">-$G$12*$L$26*$M$26*(1+$M$25)^H44</f>
        <v>-225187.25772874922</v>
      </c>
      <c r="J60" s="219">
        <f t="shared" ref="J60:R60" ca="1" si="14">-$G$12*$L$26*$M$26*(1+$M$25)^I44</f>
        <v>-229691.0028833242</v>
      </c>
      <c r="K60" s="219">
        <f t="shared" ca="1" si="14"/>
        <v>-234284.82294099068</v>
      </c>
      <c r="L60" s="219">
        <f t="shared" ca="1" si="14"/>
        <v>-238970.5193998105</v>
      </c>
      <c r="M60" s="219">
        <f t="shared" ca="1" si="14"/>
        <v>-243749.92978780673</v>
      </c>
      <c r="N60" s="219">
        <f t="shared" ca="1" si="14"/>
        <v>-248624.92838356286</v>
      </c>
      <c r="O60" s="219">
        <f t="shared" ca="1" si="14"/>
        <v>-253597.42695123405</v>
      </c>
      <c r="P60" s="219">
        <f t="shared" ca="1" si="14"/>
        <v>-258669.37549025877</v>
      </c>
      <c r="Q60" s="219">
        <f t="shared" ca="1" si="14"/>
        <v>-263842.76300006395</v>
      </c>
      <c r="R60" s="219">
        <f t="shared" ca="1" si="14"/>
        <v>-269119.61826006521</v>
      </c>
      <c r="S60" s="219"/>
      <c r="T60" s="219"/>
      <c r="U60" s="219"/>
      <c r="V60" s="219"/>
      <c r="W60" s="219"/>
      <c r="X60" s="184"/>
    </row>
    <row r="61" spans="2:24">
      <c r="B61" s="185" t="s">
        <v>63</v>
      </c>
      <c r="H61" s="219">
        <f t="shared" ref="H61:R61" ca="1" si="15">-H57*$M$27</f>
        <v>-17796.324693333328</v>
      </c>
      <c r="I61" s="219">
        <f t="shared" ca="1" si="15"/>
        <v>-22966.025250133338</v>
      </c>
      <c r="J61" s="219">
        <f t="shared" ca="1" si="15"/>
        <v>-23655.00600763733</v>
      </c>
      <c r="K61" s="219">
        <f t="shared" ca="1" si="15"/>
        <v>-24364.656187866447</v>
      </c>
      <c r="L61" s="219">
        <f t="shared" ca="1" si="15"/>
        <v>-25095.595873502447</v>
      </c>
      <c r="M61" s="219">
        <f t="shared" ca="1" si="15"/>
        <v>-25848.46374970752</v>
      </c>
      <c r="N61" s="219">
        <f t="shared" ca="1" si="15"/>
        <v>-26623.917662198739</v>
      </c>
      <c r="O61" s="219">
        <f t="shared" ca="1" si="15"/>
        <v>-27422.63519206471</v>
      </c>
      <c r="P61" s="219">
        <f t="shared" ca="1" si="15"/>
        <v>-28245.314247826645</v>
      </c>
      <c r="Q61" s="219">
        <f t="shared" ca="1" si="15"/>
        <v>-29092.673675261449</v>
      </c>
      <c r="R61" s="219">
        <f t="shared" ca="1" si="15"/>
        <v>-29965.453885519288</v>
      </c>
      <c r="S61" s="219"/>
      <c r="T61" s="189"/>
      <c r="U61" s="219"/>
      <c r="V61" s="219"/>
      <c r="W61" s="219"/>
      <c r="X61" s="184"/>
    </row>
    <row r="62" spans="2:24">
      <c r="B62" s="244" t="s">
        <v>64</v>
      </c>
      <c r="C62" s="244"/>
      <c r="D62" s="244"/>
      <c r="E62" s="244"/>
      <c r="F62" s="244"/>
      <c r="G62" s="244"/>
      <c r="H62" s="245">
        <f t="shared" ref="H62:R62" ca="1" si="16">SUM(H57:H61)</f>
        <v>428794.03000397119</v>
      </c>
      <c r="I62" s="245">
        <f t="shared" ca="1" si="16"/>
        <v>607331.15758858423</v>
      </c>
      <c r="J62" s="245">
        <f t="shared" ca="1" si="16"/>
        <v>621770.93836158153</v>
      </c>
      <c r="K62" s="245">
        <f t="shared" ca="1" si="16"/>
        <v>636383.72946679802</v>
      </c>
      <c r="L62" s="245">
        <f t="shared" ca="1" si="16"/>
        <v>651160.17780378019</v>
      </c>
      <c r="M62" s="245">
        <f t="shared" ca="1" si="16"/>
        <v>666089.88621957216</v>
      </c>
      <c r="N62" s="245">
        <f t="shared" ca="1" si="16"/>
        <v>681161.34300483437</v>
      </c>
      <c r="O62" s="245">
        <f t="shared" ca="1" si="16"/>
        <v>696361.84728119301</v>
      </c>
      <c r="P62" s="245">
        <f t="shared" ca="1" si="16"/>
        <v>711677.4300554588</v>
      </c>
      <c r="Q62" s="245">
        <f t="shared" ca="1" si="16"/>
        <v>727092.77070451097</v>
      </c>
      <c r="R62" s="245">
        <f t="shared" ca="1" si="16"/>
        <v>742591.10864215204</v>
      </c>
      <c r="S62" s="245"/>
      <c r="T62" s="297"/>
      <c r="U62" s="245"/>
      <c r="V62" s="245"/>
      <c r="W62" s="245"/>
      <c r="X62" s="184"/>
    </row>
    <row r="63" spans="2:24">
      <c r="X63" s="184"/>
    </row>
    <row r="64" spans="2:24">
      <c r="B64" s="185" t="s">
        <v>65</v>
      </c>
      <c r="H64" s="219">
        <f t="shared" ref="H64:R64" si="17">IF(H44=$M$30,I62/$M$32,0)</f>
        <v>0</v>
      </c>
      <c r="I64" s="219">
        <f t="shared" si="17"/>
        <v>0</v>
      </c>
      <c r="J64" s="219">
        <f t="shared" si="17"/>
        <v>0</v>
      </c>
      <c r="K64" s="219">
        <f t="shared" si="17"/>
        <v>0</v>
      </c>
      <c r="L64" s="219">
        <f t="shared" si="17"/>
        <v>0</v>
      </c>
      <c r="M64" s="219">
        <f t="shared" si="17"/>
        <v>0</v>
      </c>
      <c r="N64" s="219">
        <f t="shared" si="17"/>
        <v>0</v>
      </c>
      <c r="O64" s="219">
        <f t="shared" ca="1" si="17"/>
        <v>13555760.572484929</v>
      </c>
      <c r="P64" s="219">
        <f t="shared" si="17"/>
        <v>0</v>
      </c>
      <c r="Q64" s="219">
        <f t="shared" si="17"/>
        <v>0</v>
      </c>
      <c r="R64" s="219">
        <f t="shared" si="17"/>
        <v>0</v>
      </c>
      <c r="S64" s="219"/>
      <c r="T64" s="189"/>
      <c r="U64" s="219"/>
      <c r="V64" s="219"/>
      <c r="W64" s="219"/>
      <c r="X64" s="184"/>
    </row>
    <row r="65" spans="1:24">
      <c r="B65" s="238" t="s">
        <v>66</v>
      </c>
      <c r="C65" s="238"/>
      <c r="D65" s="238"/>
      <c r="E65" s="238"/>
      <c r="F65" s="238"/>
      <c r="G65" s="238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98"/>
      <c r="U65" s="240"/>
      <c r="V65" s="240"/>
      <c r="W65" s="240"/>
      <c r="X65" s="184"/>
    </row>
    <row r="66" spans="1:24">
      <c r="A66" s="250"/>
      <c r="B66" s="251" t="s">
        <v>67</v>
      </c>
      <c r="C66" s="251"/>
      <c r="D66" s="251"/>
      <c r="E66" s="251"/>
      <c r="F66" s="251"/>
      <c r="G66" s="252">
        <f t="shared" ref="G66:R66" ca="1" si="18">IF(G44&lt;=$M$30,SUM(G62,G64:G65,G47),0)</f>
        <v>-39751900.33582247</v>
      </c>
      <c r="H66" s="252">
        <f t="shared" ca="1" si="18"/>
        <v>428794.03000397119</v>
      </c>
      <c r="I66" s="252">
        <f t="shared" ca="1" si="18"/>
        <v>607331.15758858423</v>
      </c>
      <c r="J66" s="252">
        <f t="shared" ca="1" si="18"/>
        <v>621770.93836158153</v>
      </c>
      <c r="K66" s="252">
        <f t="shared" ca="1" si="18"/>
        <v>636383.72946679802</v>
      </c>
      <c r="L66" s="252">
        <f t="shared" ca="1" si="18"/>
        <v>651160.17780378019</v>
      </c>
      <c r="M66" s="252">
        <f t="shared" ca="1" si="18"/>
        <v>666089.88621957216</v>
      </c>
      <c r="N66" s="252">
        <f t="shared" ca="1" si="18"/>
        <v>681161.34300483437</v>
      </c>
      <c r="O66" s="252">
        <f t="shared" ca="1" si="18"/>
        <v>14252122.419766122</v>
      </c>
      <c r="P66" s="252">
        <f t="shared" si="18"/>
        <v>0</v>
      </c>
      <c r="Q66" s="252">
        <f t="shared" si="18"/>
        <v>0</v>
      </c>
      <c r="R66" s="252">
        <f t="shared" si="18"/>
        <v>0</v>
      </c>
      <c r="S66" s="252"/>
      <c r="T66" s="299"/>
      <c r="U66" s="252"/>
      <c r="V66" s="252"/>
      <c r="W66" s="252"/>
      <c r="X66" s="184"/>
    </row>
    <row r="67" spans="1:24" ht="16" thickBot="1">
      <c r="X67" s="184"/>
    </row>
    <row r="68" spans="1:24">
      <c r="B68" s="253" t="s">
        <v>68</v>
      </c>
      <c r="C68" s="254"/>
      <c r="D68" s="254"/>
      <c r="E68" s="254"/>
      <c r="F68" s="255">
        <f ca="1">SUM(G66:R66)</f>
        <v>-21207086.653607227</v>
      </c>
      <c r="X68" s="184"/>
    </row>
    <row r="69" spans="1:24">
      <c r="B69" s="256" t="s">
        <v>69</v>
      </c>
      <c r="F69" s="257">
        <f ca="1">NPV(M31,H66:R66)</f>
        <v>11188389.25309795</v>
      </c>
      <c r="X69" s="184"/>
    </row>
    <row r="70" spans="1:24">
      <c r="B70" s="256" t="s">
        <v>70</v>
      </c>
      <c r="F70" s="257">
        <f ca="1">F69+G66</f>
        <v>-28563511.082724519</v>
      </c>
      <c r="G70" s="258"/>
      <c r="X70" s="184"/>
    </row>
    <row r="71" spans="1:24">
      <c r="B71" s="256" t="s">
        <v>71</v>
      </c>
      <c r="F71" s="259">
        <f ca="1">IRR(G66:R66)</f>
        <v>-9.9433650048345923E-2</v>
      </c>
      <c r="X71" s="184"/>
    </row>
    <row r="72" spans="1:24" ht="16" thickBot="1">
      <c r="B72" s="260" t="s">
        <v>72</v>
      </c>
      <c r="C72" s="261"/>
      <c r="D72" s="261"/>
      <c r="E72" s="261"/>
      <c r="F72" s="262">
        <f ca="1">(F68/-G66)+1</f>
        <v>0.46651389054483927</v>
      </c>
      <c r="X72" s="184"/>
    </row>
    <row r="74" spans="1:24">
      <c r="B74" s="185" t="s">
        <v>73</v>
      </c>
      <c r="G74" s="219">
        <f ca="1">R30</f>
        <v>25582906.156717435</v>
      </c>
    </row>
    <row r="75" spans="1:24">
      <c r="B75" s="185" t="s">
        <v>74</v>
      </c>
      <c r="H75" s="219">
        <f t="shared" ref="H75:R75" si="19">IF(H44=$M$30,FV($R$18/12,H44*12,$R$20,$R$17,0),0)</f>
        <v>0</v>
      </c>
      <c r="I75" s="219">
        <f t="shared" si="19"/>
        <v>0</v>
      </c>
      <c r="J75" s="219">
        <f t="shared" si="19"/>
        <v>0</v>
      </c>
      <c r="K75" s="219">
        <f t="shared" si="19"/>
        <v>0</v>
      </c>
      <c r="L75" s="219">
        <f t="shared" si="19"/>
        <v>0</v>
      </c>
      <c r="M75" s="219">
        <f t="shared" si="19"/>
        <v>0</v>
      </c>
      <c r="N75" s="219">
        <f t="shared" si="19"/>
        <v>0</v>
      </c>
      <c r="O75" s="219">
        <f t="shared" ca="1" si="19"/>
        <v>-21698665.561457627</v>
      </c>
      <c r="P75" s="219">
        <f t="shared" si="19"/>
        <v>0</v>
      </c>
      <c r="Q75" s="219">
        <f t="shared" si="19"/>
        <v>0</v>
      </c>
      <c r="R75" s="219">
        <f t="shared" si="19"/>
        <v>0</v>
      </c>
      <c r="S75" s="258"/>
      <c r="T75" s="300"/>
      <c r="U75" s="258"/>
      <c r="V75" s="258"/>
      <c r="W75" s="258"/>
      <c r="X75" s="258"/>
    </row>
    <row r="76" spans="1:24">
      <c r="B76" s="185" t="s">
        <v>75</v>
      </c>
      <c r="H76" s="219">
        <f t="shared" ref="H76:R76" ca="1" si="20">IF(H44&lt;=$M$30,$R$20*12,0)</f>
        <v>-1555497.9278715365</v>
      </c>
      <c r="I76" s="219">
        <f t="shared" ca="1" si="20"/>
        <v>-1555497.9278715365</v>
      </c>
      <c r="J76" s="219">
        <f t="shared" ca="1" si="20"/>
        <v>-1555497.9278715365</v>
      </c>
      <c r="K76" s="219">
        <f t="shared" ca="1" si="20"/>
        <v>-1555497.9278715365</v>
      </c>
      <c r="L76" s="219">
        <f t="shared" ca="1" si="20"/>
        <v>-1555497.9278715365</v>
      </c>
      <c r="M76" s="219">
        <f t="shared" ca="1" si="20"/>
        <v>-1555497.9278715365</v>
      </c>
      <c r="N76" s="219">
        <f t="shared" ca="1" si="20"/>
        <v>-1555497.9278715365</v>
      </c>
      <c r="O76" s="219">
        <f t="shared" ca="1" si="20"/>
        <v>-1555497.9278715365</v>
      </c>
      <c r="P76" s="219">
        <f t="shared" si="20"/>
        <v>0</v>
      </c>
      <c r="Q76" s="219">
        <f t="shared" si="20"/>
        <v>0</v>
      </c>
      <c r="R76" s="219">
        <f t="shared" si="20"/>
        <v>0</v>
      </c>
      <c r="S76" s="219"/>
      <c r="T76" s="189"/>
      <c r="U76" s="219"/>
      <c r="V76" s="219"/>
      <c r="W76" s="219"/>
      <c r="X76" s="219"/>
    </row>
    <row r="77" spans="1:24">
      <c r="B77" s="325" t="s">
        <v>438</v>
      </c>
      <c r="H77" s="219">
        <f ca="1">SUM(H75:H76)</f>
        <v>-1555497.9278715365</v>
      </c>
      <c r="I77" s="219">
        <f t="shared" ref="I77:Q77" ca="1" si="21">SUM(I75:I76)</f>
        <v>-1555497.9278715365</v>
      </c>
      <c r="J77" s="219">
        <f t="shared" ca="1" si="21"/>
        <v>-1555497.9278715365</v>
      </c>
      <c r="K77" s="219">
        <f t="shared" ca="1" si="21"/>
        <v>-1555497.9278715365</v>
      </c>
      <c r="L77" s="219">
        <f t="shared" ca="1" si="21"/>
        <v>-1555497.9278715365</v>
      </c>
      <c r="M77" s="219">
        <f t="shared" ca="1" si="21"/>
        <v>-1555497.9278715365</v>
      </c>
      <c r="N77" s="219">
        <f t="shared" ca="1" si="21"/>
        <v>-1555497.9278715365</v>
      </c>
      <c r="O77" s="219">
        <f t="shared" ca="1" si="21"/>
        <v>-23254163.489329163</v>
      </c>
      <c r="P77" s="219">
        <f t="shared" si="21"/>
        <v>0</v>
      </c>
      <c r="Q77" s="219">
        <f t="shared" si="21"/>
        <v>0</v>
      </c>
    </row>
    <row r="78" spans="1:24">
      <c r="A78" s="250"/>
      <c r="B78" s="251" t="s">
        <v>76</v>
      </c>
      <c r="C78" s="251"/>
      <c r="D78" s="251"/>
      <c r="E78" s="251"/>
      <c r="F78" s="251"/>
      <c r="G78" s="252">
        <f ca="1">SUM(G66,G74:G76)</f>
        <v>-14168994.179105036</v>
      </c>
      <c r="H78" s="252">
        <f t="shared" ref="H78:R78" ca="1" si="22">SUM(H66,H74:H76)</f>
        <v>-1126703.8978675653</v>
      </c>
      <c r="I78" s="252">
        <f t="shared" ca="1" si="22"/>
        <v>-948166.77028295223</v>
      </c>
      <c r="J78" s="252">
        <f t="shared" ca="1" si="22"/>
        <v>-933726.98950995493</v>
      </c>
      <c r="K78" s="252">
        <f t="shared" ca="1" si="22"/>
        <v>-919114.19840473845</v>
      </c>
      <c r="L78" s="252">
        <f t="shared" ca="1" si="22"/>
        <v>-904337.75006775628</v>
      </c>
      <c r="M78" s="252">
        <f t="shared" ca="1" si="22"/>
        <v>-889408.0416519643</v>
      </c>
      <c r="N78" s="252">
        <f t="shared" ca="1" si="22"/>
        <v>-874336.58486670209</v>
      </c>
      <c r="O78" s="252">
        <f t="shared" ca="1" si="22"/>
        <v>-9002041.0695630405</v>
      </c>
      <c r="P78" s="252">
        <f t="shared" si="22"/>
        <v>0</v>
      </c>
      <c r="Q78" s="252">
        <f t="shared" si="22"/>
        <v>0</v>
      </c>
      <c r="R78" s="252">
        <f t="shared" si="22"/>
        <v>0</v>
      </c>
      <c r="S78" s="252"/>
      <c r="T78" s="299"/>
      <c r="U78" s="252"/>
      <c r="V78" s="252"/>
      <c r="W78" s="252"/>
      <c r="X78" s="301"/>
    </row>
    <row r="79" spans="1:24" ht="16" thickBot="1"/>
    <row r="80" spans="1:24">
      <c r="B80" s="253" t="str">
        <f>B68</f>
        <v>Profit</v>
      </c>
      <c r="C80" s="254"/>
      <c r="D80" s="254"/>
      <c r="E80" s="254"/>
      <c r="F80" s="255">
        <f ca="1">SUM(G78:R78)</f>
        <v>-29766829.481319711</v>
      </c>
    </row>
    <row r="81" spans="1:24">
      <c r="B81" s="256" t="str">
        <f t="shared" ref="B81:B84" si="23">B69</f>
        <v>PV</v>
      </c>
      <c r="F81" s="257">
        <f ca="1">NPV($M$31,H78:R78)</f>
        <v>-10089124.531203246</v>
      </c>
    </row>
    <row r="82" spans="1:24">
      <c r="B82" s="256" t="str">
        <f t="shared" si="23"/>
        <v>NPV</v>
      </c>
      <c r="F82" s="257">
        <f ca="1">F81+G78</f>
        <v>-24258118.710308284</v>
      </c>
    </row>
    <row r="83" spans="1:24">
      <c r="B83" s="256" t="s">
        <v>77</v>
      </c>
      <c r="F83" s="263" t="e">
        <f ca="1">IRR(G78:R78)</f>
        <v>#NUM!</v>
      </c>
    </row>
    <row r="84" spans="1:24" ht="16" thickBot="1">
      <c r="B84" s="260" t="str">
        <f t="shared" si="23"/>
        <v>Equity Multiple</v>
      </c>
      <c r="C84" s="261"/>
      <c r="D84" s="261"/>
      <c r="E84" s="261"/>
      <c r="F84" s="262">
        <f ca="1">(F80/-G78)+1</f>
        <v>-1.1008428054276953</v>
      </c>
    </row>
    <row r="86" spans="1:24">
      <c r="A86" s="185" t="s">
        <v>1</v>
      </c>
      <c r="B86" s="216" t="s">
        <v>78</v>
      </c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302"/>
      <c r="U86" s="216"/>
      <c r="V86" s="216"/>
      <c r="W86" s="216"/>
      <c r="X86" s="216"/>
    </row>
    <row r="87" spans="1:24">
      <c r="B87" s="185" t="s">
        <v>79</v>
      </c>
      <c r="H87" s="264">
        <f ca="1">-H66/$G$66</f>
        <v>1.078675551059286E-2</v>
      </c>
      <c r="I87" s="264">
        <f t="shared" ref="I87:R87" ca="1" si="24">-I66/$G$66</f>
        <v>1.5278040859880278E-2</v>
      </c>
      <c r="J87" s="264">
        <f t="shared" ca="1" si="24"/>
        <v>1.5641288419141863E-2</v>
      </c>
      <c r="K87" s="264">
        <f t="shared" ca="1" si="24"/>
        <v>1.6008888231522359E-2</v>
      </c>
      <c r="L87" s="264">
        <f t="shared" ca="1" si="24"/>
        <v>1.6380605010145551E-2</v>
      </c>
      <c r="M87" s="264">
        <f t="shared" ca="1" si="24"/>
        <v>1.6756177203919091E-2</v>
      </c>
      <c r="N87" s="264">
        <f t="shared" ca="1" si="24"/>
        <v>1.7135315223936728E-2</v>
      </c>
      <c r="O87" s="264">
        <f t="shared" ca="1" si="24"/>
        <v>0.35852682008570058</v>
      </c>
      <c r="P87" s="264">
        <f t="shared" ca="1" si="24"/>
        <v>0</v>
      </c>
      <c r="Q87" s="264">
        <f t="shared" ca="1" si="24"/>
        <v>0</v>
      </c>
      <c r="R87" s="264">
        <f t="shared" ca="1" si="24"/>
        <v>0</v>
      </c>
      <c r="S87" s="264"/>
      <c r="T87" s="303"/>
      <c r="U87" s="264"/>
      <c r="V87" s="264"/>
      <c r="W87" s="264"/>
      <c r="X87" s="264"/>
    </row>
    <row r="88" spans="1:24">
      <c r="B88" s="185" t="s">
        <v>80</v>
      </c>
      <c r="H88" s="264">
        <f ca="1">-H78/$G$78</f>
        <v>-7.951897527977754E-2</v>
      </c>
      <c r="I88" s="264">
        <f t="shared" ref="I88:R88" ca="1" si="25">-I78/$G$78</f>
        <v>-6.6918424716498948E-2</v>
      </c>
      <c r="J88" s="264">
        <f t="shared" ca="1" si="25"/>
        <v>-6.5899313508570617E-2</v>
      </c>
      <c r="K88" s="264">
        <f t="shared" ca="1" si="25"/>
        <v>-6.4867991812725331E-2</v>
      </c>
      <c r="L88" s="264">
        <f t="shared" ca="1" si="25"/>
        <v>-6.3825119739365818E-2</v>
      </c>
      <c r="M88" s="264">
        <f t="shared" ca="1" si="25"/>
        <v>-6.2771431084612278E-2</v>
      </c>
      <c r="N88" s="264">
        <f t="shared" ca="1" si="25"/>
        <v>-6.1707738306229463E-2</v>
      </c>
      <c r="O88" s="264">
        <f t="shared" ca="1" si="25"/>
        <v>-0.63533381097991537</v>
      </c>
      <c r="P88" s="264">
        <f t="shared" ca="1" si="25"/>
        <v>0</v>
      </c>
      <c r="Q88" s="264">
        <f t="shared" ca="1" si="25"/>
        <v>0</v>
      </c>
      <c r="R88" s="264">
        <f t="shared" ca="1" si="25"/>
        <v>0</v>
      </c>
      <c r="S88" s="264"/>
      <c r="T88" s="303"/>
      <c r="U88" s="264"/>
      <c r="V88" s="264"/>
      <c r="W88" s="264"/>
      <c r="X88" s="264"/>
    </row>
    <row r="89" spans="1:24">
      <c r="B89" s="185" t="s">
        <v>81</v>
      </c>
      <c r="H89" s="219">
        <f t="shared" ref="H89:R89" ca="1" si="26">-CUMPRINC($R$18/12,$R$19*12,$R$17,H44*12-11,H44*12,0)</f>
        <v>412710.27062876575</v>
      </c>
      <c r="I89" s="219">
        <f t="shared" ca="1" si="26"/>
        <v>431670.10825390613</v>
      </c>
      <c r="J89" s="219">
        <f t="shared" ca="1" si="26"/>
        <v>451500.95750234328</v>
      </c>
      <c r="K89" s="219">
        <f t="shared" ca="1" si="26"/>
        <v>472242.83249566011</v>
      </c>
      <c r="L89" s="219">
        <f t="shared" ca="1" si="26"/>
        <v>493937.58559718367</v>
      </c>
      <c r="M89" s="219">
        <f t="shared" ca="1" si="26"/>
        <v>516628.99186048994</v>
      </c>
      <c r="N89" s="219">
        <f t="shared" ca="1" si="26"/>
        <v>540362.83735745773</v>
      </c>
      <c r="O89" s="219">
        <f t="shared" ca="1" si="26"/>
        <v>565187.01156409609</v>
      </c>
      <c r="P89" s="219">
        <f t="shared" ca="1" si="26"/>
        <v>591151.60399056505</v>
      </c>
      <c r="Q89" s="219">
        <f t="shared" ca="1" si="26"/>
        <v>618309.00525035593</v>
      </c>
      <c r="R89" s="219">
        <f t="shared" ca="1" si="26"/>
        <v>646714.01277257886</v>
      </c>
      <c r="S89" s="219"/>
      <c r="T89" s="189"/>
      <c r="U89" s="219"/>
      <c r="V89" s="219"/>
      <c r="W89" s="219"/>
      <c r="X89" s="219"/>
    </row>
    <row r="90" spans="1:24">
      <c r="B90" s="185" t="s">
        <v>82</v>
      </c>
      <c r="H90" s="264">
        <f t="shared" ref="H90:R90" ca="1" si="27">IF(H44&lt;=$M$30,(H89+H78)/-$G$78,0)</f>
        <v>-5.0391271124362758E-2</v>
      </c>
      <c r="I90" s="264">
        <f t="shared" ca="1" si="27"/>
        <v>-3.6452598928350316E-2</v>
      </c>
      <c r="J90" s="264">
        <f t="shared" ca="1" si="27"/>
        <v>-3.4033893013997327E-2</v>
      </c>
      <c r="K90" s="264">
        <f t="shared" ca="1" si="27"/>
        <v>-3.1538679475786494E-2</v>
      </c>
      <c r="L90" s="264">
        <f t="shared" ca="1" si="27"/>
        <v>-2.8964664624944812E-2</v>
      </c>
      <c r="M90" s="264">
        <f t="shared" ca="1" si="27"/>
        <v>-2.6309492761399413E-2</v>
      </c>
      <c r="N90" s="264">
        <f t="shared" ca="1" si="27"/>
        <v>-2.3570744915807379E-2</v>
      </c>
      <c r="O90" s="264">
        <f t="shared" ca="1" si="27"/>
        <v>-0.59544481078556322</v>
      </c>
      <c r="P90" s="264">
        <f t="shared" si="27"/>
        <v>0</v>
      </c>
      <c r="Q90" s="264">
        <f t="shared" si="27"/>
        <v>0</v>
      </c>
      <c r="R90" s="264">
        <f t="shared" si="27"/>
        <v>0</v>
      </c>
      <c r="S90" s="264"/>
      <c r="T90" s="303"/>
      <c r="U90" s="264"/>
      <c r="V90" s="264"/>
      <c r="W90" s="264"/>
      <c r="X90" s="264"/>
    </row>
    <row r="91" spans="1:24">
      <c r="B91" s="185" t="s">
        <v>24</v>
      </c>
      <c r="H91" s="237">
        <f t="shared" ref="H91:R91" ca="1" si="28">IF(H44&lt;=$M$30,H62/-H76,0)</f>
        <v>0.27566351733474243</v>
      </c>
      <c r="I91" s="237">
        <f t="shared" ca="1" si="28"/>
        <v>0.3904416371802083</v>
      </c>
      <c r="J91" s="237">
        <f t="shared" ca="1" si="28"/>
        <v>0.39972469729508475</v>
      </c>
      <c r="K91" s="237">
        <f t="shared" ca="1" si="28"/>
        <v>0.40911898245830058</v>
      </c>
      <c r="L91" s="237">
        <f t="shared" ca="1" si="28"/>
        <v>0.41861847973966404</v>
      </c>
      <c r="M91" s="237">
        <f t="shared" ca="1" si="28"/>
        <v>0.4282165050075093</v>
      </c>
      <c r="N91" s="237">
        <f t="shared" ca="1" si="28"/>
        <v>0.43790565760309341</v>
      </c>
      <c r="O91" s="237">
        <f t="shared" ca="1" si="28"/>
        <v>0.44767777237354395</v>
      </c>
      <c r="P91" s="237">
        <f t="shared" si="28"/>
        <v>0</v>
      </c>
      <c r="Q91" s="237">
        <f t="shared" si="28"/>
        <v>0</v>
      </c>
      <c r="R91" s="237">
        <f t="shared" si="28"/>
        <v>0</v>
      </c>
      <c r="S91" s="237"/>
      <c r="T91" s="285"/>
      <c r="U91" s="237"/>
      <c r="V91" s="237"/>
      <c r="W91" s="237"/>
      <c r="X91" s="237"/>
    </row>
    <row r="92" spans="1:24">
      <c r="B92" s="185" t="s">
        <v>27</v>
      </c>
      <c r="H92" s="264">
        <f ca="1">H66/($G$74-SUM(H89:$H$89))</f>
        <v>1.7035784383424749E-2</v>
      </c>
      <c r="I92" s="264">
        <f ca="1">I66/($G$74-SUM($H89:I$89))</f>
        <v>2.4550014137574079E-2</v>
      </c>
      <c r="J92" s="264">
        <f ca="1">J66/($G$74-SUM($H89:J$89))</f>
        <v>2.560095124706474E-2</v>
      </c>
      <c r="K92" s="264">
        <f ca="1">K66/($G$74-SUM($H89:K$89))</f>
        <v>2.6722215210360806E-2</v>
      </c>
      <c r="L92" s="264">
        <f ca="1">L66/($G$74-SUM($H89:L$89))</f>
        <v>2.7921809629725378E-2</v>
      </c>
      <c r="M92" s="264">
        <f ca="1">M66/($G$74-SUM($H89:M$89))</f>
        <v>2.9209068333761166E-2</v>
      </c>
      <c r="N92" s="264">
        <f ca="1">N66/($G$74-SUM($H89:N$89))</f>
        <v>3.0594944912195304E-2</v>
      </c>
      <c r="O92" s="264">
        <f ca="1">O66/($G$74-SUM($H89:O$89))</f>
        <v>0.65682022608254742</v>
      </c>
      <c r="P92" s="264">
        <f ca="1">P66/($G$74-SUM($H89:P$89))</f>
        <v>0</v>
      </c>
      <c r="Q92" s="264">
        <f ca="1">Q66/($G$74-SUM($H89:Q$89))</f>
        <v>0</v>
      </c>
      <c r="R92" s="264">
        <f ca="1">R66/($G$74-SUM($H89:R$89))</f>
        <v>0</v>
      </c>
      <c r="S92" s="264"/>
      <c r="T92" s="303"/>
      <c r="U92" s="264"/>
      <c r="V92" s="264"/>
      <c r="W92" s="264"/>
      <c r="X92" s="264"/>
    </row>
  </sheetData>
  <conditionalFormatting sqref="T16:U27">
    <cfRule type="expression" dxfId="1" priority="1">
      <formula>$G$49="N"</formula>
    </cfRule>
  </conditionalFormatting>
  <conditionalFormatting sqref="U16">
    <cfRule type="expression" dxfId="0" priority="2">
      <formula>AND(#REF!=0, $G$49="Y")</formula>
    </cfRule>
  </conditionalFormatting>
  <pageMargins left="0.7" right="0.7" top="0.75" bottom="0.75" header="0.3" footer="0.3"/>
  <pageSetup scale="31" orientation="portrait" r:id="rId1"/>
  <headerFooter>
    <oddHeader xml:space="preserve">&amp;L2019 ULI Hines Student Competition&amp;R2019-331 &amp;A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7EE2D-9808-47A1-90C5-C6615720AB88}">
  <sheetPr>
    <tabColor theme="9"/>
  </sheetPr>
  <dimension ref="A3:T107"/>
  <sheetViews>
    <sheetView showGridLines="0" view="pageBreakPreview" topLeftCell="A4" zoomScale="85" zoomScaleNormal="100" zoomScaleSheetLayoutView="85" workbookViewId="0">
      <selection activeCell="I7" sqref="I7"/>
    </sheetView>
  </sheetViews>
  <sheetFormatPr baseColWidth="10" defaultColWidth="8.83203125" defaultRowHeight="15"/>
  <cols>
    <col min="1" max="1" width="3.5" style="180" customWidth="1"/>
    <col min="2" max="2" width="1.6640625" style="180" customWidth="1"/>
    <col min="3" max="3" width="3" style="180" customWidth="1"/>
    <col min="4" max="4" width="1.6640625" style="180" customWidth="1"/>
    <col min="5" max="5" width="17.6640625" style="180" customWidth="1"/>
    <col min="6" max="6" width="8.83203125" style="180" customWidth="1"/>
    <col min="7" max="7" width="16.33203125" style="180" customWidth="1"/>
    <col min="8" max="8" width="13.5" style="180" bestFit="1" customWidth="1"/>
    <col min="9" max="9" width="12.33203125" style="180" bestFit="1" customWidth="1"/>
    <col min="10" max="10" width="13.6640625" style="180" bestFit="1" customWidth="1"/>
    <col min="11" max="12" width="12.5" style="180" bestFit="1" customWidth="1"/>
    <col min="13" max="14" width="12.33203125" style="180" bestFit="1" customWidth="1"/>
    <col min="15" max="15" width="12.1640625" style="180" bestFit="1" customWidth="1"/>
    <col min="16" max="16" width="13" style="183" customWidth="1"/>
    <col min="17" max="17" width="13" style="180" customWidth="1"/>
    <col min="18" max="18" width="13.1640625" style="180" customWidth="1"/>
    <col min="19" max="20" width="8.83203125" style="180"/>
    <col min="21" max="21" width="8.83203125" style="184"/>
    <col min="22" max="22" width="14.1640625" style="184" bestFit="1" customWidth="1"/>
    <col min="23" max="16384" width="8.83203125" style="184"/>
  </cols>
  <sheetData>
    <row r="3" spans="1:18">
      <c r="C3" s="45"/>
      <c r="D3" s="181" t="s">
        <v>41</v>
      </c>
      <c r="E3" s="181"/>
      <c r="F3" s="182" t="s">
        <v>425</v>
      </c>
      <c r="G3" s="182" t="s">
        <v>310</v>
      </c>
    </row>
    <row r="4" spans="1:18">
      <c r="C4" s="183"/>
      <c r="D4" s="185" t="s">
        <v>186</v>
      </c>
      <c r="E4" s="185"/>
      <c r="F4" s="186"/>
      <c r="G4" s="186">
        <f>Assumptions!U15</f>
        <v>0</v>
      </c>
    </row>
    <row r="5" spans="1:18">
      <c r="C5" s="183"/>
      <c r="D5" s="185" t="s">
        <v>422</v>
      </c>
      <c r="E5" s="185"/>
      <c r="F5" s="186">
        <f>Assumptions!E66</f>
        <v>207.86529281846404</v>
      </c>
      <c r="G5" s="186">
        <f ca="1">F5*$G$17</f>
        <v>44271648.941179238</v>
      </c>
    </row>
    <row r="6" spans="1:18">
      <c r="C6" s="183"/>
      <c r="D6" s="185" t="s">
        <v>423</v>
      </c>
      <c r="E6" s="185"/>
      <c r="F6" s="186">
        <f>Assumptions!G66</f>
        <v>31.179793922769605</v>
      </c>
      <c r="G6" s="186">
        <f ca="1">F6*$G$17</f>
        <v>6640747.3411768861</v>
      </c>
    </row>
    <row r="7" spans="1:18">
      <c r="C7" s="183"/>
      <c r="D7" s="185" t="s">
        <v>187</v>
      </c>
      <c r="E7" s="185"/>
      <c r="F7" s="186"/>
      <c r="G7" s="186">
        <f ca="1">Assumptions!V15</f>
        <v>1674293.9971549269</v>
      </c>
    </row>
    <row r="8" spans="1:18">
      <c r="C8" s="183"/>
      <c r="D8" s="185" t="s">
        <v>424</v>
      </c>
      <c r="E8" s="185"/>
      <c r="F8" s="186">
        <f>Assumptions!E71</f>
        <v>12000</v>
      </c>
      <c r="G8" s="186">
        <f>F8*Assumptions!T15</f>
        <v>7566240</v>
      </c>
    </row>
    <row r="9" spans="1:18">
      <c r="C9" s="183"/>
      <c r="D9" s="185" t="s">
        <v>121</v>
      </c>
      <c r="E9" s="185"/>
      <c r="F9" s="188"/>
      <c r="G9" s="186">
        <f ca="1">-G62</f>
        <v>10649120.000000002</v>
      </c>
    </row>
    <row r="10" spans="1:18">
      <c r="C10" s="183"/>
      <c r="D10" s="185" t="s">
        <v>123</v>
      </c>
      <c r="E10" s="185"/>
      <c r="F10" s="187"/>
      <c r="G10" s="186">
        <f ca="1">-G61</f>
        <v>1899664.1777227703</v>
      </c>
    </row>
    <row r="11" spans="1:18">
      <c r="C11" s="183"/>
      <c r="D11" s="185"/>
      <c r="E11" s="185"/>
      <c r="F11" s="187"/>
      <c r="G11" s="186"/>
    </row>
    <row r="12" spans="1:18">
      <c r="C12" s="183"/>
      <c r="D12" s="304" t="s">
        <v>426</v>
      </c>
      <c r="E12" s="304"/>
      <c r="F12" s="305">
        <f ca="1">G12/G17</f>
        <v>341.35080859842799</v>
      </c>
      <c r="G12" s="305">
        <f ca="1">G4+G5+G6+G7+G8+G9+G10</f>
        <v>72701714.457233831</v>
      </c>
    </row>
    <row r="13" spans="1:18">
      <c r="B13" s="190"/>
    </row>
    <row r="14" spans="1:18">
      <c r="B14" s="191" t="s">
        <v>102</v>
      </c>
    </row>
    <row r="16" spans="1:18">
      <c r="A16" s="180" t="s">
        <v>1</v>
      </c>
      <c r="B16" s="5" t="s">
        <v>2</v>
      </c>
      <c r="C16" s="5"/>
      <c r="D16" s="5"/>
      <c r="E16" s="5"/>
      <c r="F16" s="5"/>
      <c r="G16" s="5"/>
      <c r="H16" s="5"/>
      <c r="I16" s="6"/>
      <c r="J16" s="5" t="s">
        <v>103</v>
      </c>
      <c r="K16" s="5"/>
      <c r="L16" s="5"/>
      <c r="M16" s="5"/>
      <c r="N16" s="7" t="s">
        <v>104</v>
      </c>
      <c r="P16" s="5" t="s">
        <v>41</v>
      </c>
      <c r="Q16" s="5"/>
      <c r="R16" s="5"/>
    </row>
    <row r="17" spans="2:19">
      <c r="B17" s="180" t="s">
        <v>14</v>
      </c>
      <c r="F17" s="19">
        <v>0.8</v>
      </c>
      <c r="G17" s="396">
        <f ca="1">Assumptions!P15*F17</f>
        <v>212982.40000000002</v>
      </c>
      <c r="J17" s="180" t="s">
        <v>47</v>
      </c>
      <c r="M17" s="192">
        <f ca="1">G17*G21</f>
        <v>5963507.2000000011</v>
      </c>
      <c r="N17" s="193">
        <f ca="1">M17/G17</f>
        <v>28.000000000000004</v>
      </c>
      <c r="P17" s="180" t="s">
        <v>105</v>
      </c>
      <c r="R17" s="398">
        <f ca="1">G12</f>
        <v>72701714.457233831</v>
      </c>
    </row>
    <row r="18" spans="2:19">
      <c r="J18" s="180" t="s">
        <v>60</v>
      </c>
      <c r="M18" s="192">
        <f ca="1">-M17*G24</f>
        <v>-596350.72000000009</v>
      </c>
      <c r="N18" s="183"/>
      <c r="P18" s="308" t="s">
        <v>435</v>
      </c>
      <c r="Q18" s="274">
        <v>0.01</v>
      </c>
      <c r="R18" s="192">
        <f ca="1">R17*Q18</f>
        <v>727017.14457233832</v>
      </c>
      <c r="S18" s="11"/>
    </row>
    <row r="19" spans="2:19">
      <c r="B19" s="5" t="s">
        <v>106</v>
      </c>
      <c r="C19" s="5"/>
      <c r="D19" s="5"/>
      <c r="E19" s="5"/>
      <c r="F19" s="5"/>
      <c r="G19" s="5"/>
      <c r="H19" s="5"/>
      <c r="I19" s="6"/>
      <c r="J19" s="195" t="s">
        <v>61</v>
      </c>
      <c r="K19" s="195"/>
      <c r="L19" s="195"/>
      <c r="M19" s="196">
        <f ca="1">M17+M18</f>
        <v>5367156.4800000014</v>
      </c>
      <c r="N19" s="197"/>
      <c r="P19" s="198" t="s">
        <v>45</v>
      </c>
      <c r="Q19" s="195"/>
      <c r="R19" s="196">
        <f ca="1">SUM(R17:R18)</f>
        <v>73428731.601806164</v>
      </c>
      <c r="S19" s="16"/>
    </row>
    <row r="20" spans="2:19">
      <c r="B20" s="180" t="s">
        <v>107</v>
      </c>
      <c r="G20" s="17">
        <v>15</v>
      </c>
      <c r="H20" s="180" t="s">
        <v>108</v>
      </c>
      <c r="N20" s="183"/>
    </row>
    <row r="21" spans="2:19">
      <c r="B21" s="180" t="s">
        <v>109</v>
      </c>
      <c r="G21" s="179">
        <f>ROUNDUP(Assumptions!H66,0)</f>
        <v>28</v>
      </c>
      <c r="H21" s="180" t="s">
        <v>110</v>
      </c>
      <c r="J21" s="18" t="s">
        <v>111</v>
      </c>
      <c r="N21" s="183"/>
      <c r="P21" s="5" t="s">
        <v>32</v>
      </c>
      <c r="Q21" s="5"/>
      <c r="R21" s="5"/>
    </row>
    <row r="22" spans="2:19">
      <c r="B22" s="180" t="s">
        <v>112</v>
      </c>
      <c r="G22" s="19">
        <v>0.03</v>
      </c>
      <c r="H22" s="180" t="s">
        <v>113</v>
      </c>
      <c r="J22" s="180" t="s">
        <v>114</v>
      </c>
      <c r="M22" s="192">
        <f ca="1">N22*$G$17</f>
        <v>319473.60000000003</v>
      </c>
      <c r="N22" s="20">
        <v>1.5</v>
      </c>
      <c r="P22" s="194" t="s">
        <v>7</v>
      </c>
      <c r="R22" s="192">
        <f ca="1">G37</f>
        <v>47728675.541174009</v>
      </c>
    </row>
    <row r="23" spans="2:19">
      <c r="B23" s="180" t="s">
        <v>115</v>
      </c>
      <c r="G23" s="19">
        <v>0.02</v>
      </c>
      <c r="J23" s="180" t="s">
        <v>116</v>
      </c>
      <c r="M23" s="192">
        <f ca="1">N23*$G$17</f>
        <v>319473.60000000003</v>
      </c>
      <c r="N23" s="20">
        <v>1.5</v>
      </c>
      <c r="P23" s="194" t="s">
        <v>34</v>
      </c>
      <c r="R23" s="192">
        <f ca="1">R24-R22</f>
        <v>25700056.060632154</v>
      </c>
    </row>
    <row r="24" spans="2:19">
      <c r="B24" s="180" t="s">
        <v>117</v>
      </c>
      <c r="G24" s="19">
        <v>0.1</v>
      </c>
      <c r="H24" s="180" t="s">
        <v>118</v>
      </c>
      <c r="J24" s="180" t="s">
        <v>119</v>
      </c>
      <c r="M24" s="192">
        <f ca="1">N24*$G$17</f>
        <v>425964.80000000005</v>
      </c>
      <c r="N24" s="20">
        <v>2</v>
      </c>
      <c r="P24" s="198" t="s">
        <v>120</v>
      </c>
      <c r="Q24" s="195"/>
      <c r="R24" s="196">
        <f ca="1">R19</f>
        <v>73428731.601806164</v>
      </c>
    </row>
    <row r="25" spans="2:19">
      <c r="B25" s="180" t="s">
        <v>121</v>
      </c>
      <c r="G25" s="17">
        <v>50</v>
      </c>
      <c r="H25" s="180" t="s">
        <v>122</v>
      </c>
      <c r="J25" s="180" t="s">
        <v>31</v>
      </c>
      <c r="L25" s="277">
        <v>0.32</v>
      </c>
      <c r="M25" s="192">
        <f ca="1">G12*L25*N25</f>
        <v>407804.27287067258</v>
      </c>
      <c r="N25" s="397">
        <f>1.7529/100</f>
        <v>1.7528999999999999E-2</v>
      </c>
    </row>
    <row r="26" spans="2:19">
      <c r="B26" s="180" t="s">
        <v>123</v>
      </c>
      <c r="G26" s="19">
        <v>0.06</v>
      </c>
      <c r="J26" s="180" t="s">
        <v>146</v>
      </c>
      <c r="M26" s="192">
        <f ca="1">N26*$M$17</f>
        <v>178905.21600000001</v>
      </c>
      <c r="N26" s="21">
        <v>0.03</v>
      </c>
      <c r="P26" s="180" t="s">
        <v>124</v>
      </c>
      <c r="R26" s="220">
        <v>7.4999999999999997E-2</v>
      </c>
    </row>
    <row r="27" spans="2:19">
      <c r="B27" s="180" t="s">
        <v>125</v>
      </c>
      <c r="G27" s="22">
        <v>5.7500000000000002E-2</v>
      </c>
      <c r="J27" s="195" t="s">
        <v>126</v>
      </c>
      <c r="K27" s="195"/>
      <c r="L27" s="195"/>
      <c r="M27" s="196">
        <f ca="1">SUM(M22:M26)</f>
        <v>1651621.4888706726</v>
      </c>
      <c r="N27" s="23">
        <v>4</v>
      </c>
    </row>
    <row r="28" spans="2:19">
      <c r="B28" s="180" t="s">
        <v>127</v>
      </c>
      <c r="G28" s="22">
        <v>5.5E-2</v>
      </c>
      <c r="N28" s="183"/>
    </row>
    <row r="29" spans="2:19">
      <c r="B29" s="180" t="s">
        <v>128</v>
      </c>
      <c r="G29" s="24">
        <v>0</v>
      </c>
      <c r="H29" s="180" t="s">
        <v>129</v>
      </c>
      <c r="J29" s="180" t="s">
        <v>130</v>
      </c>
      <c r="M29" s="192">
        <f ca="1">M19-M27</f>
        <v>3715534.9911293285</v>
      </c>
      <c r="N29" s="183"/>
    </row>
    <row r="30" spans="2:19">
      <c r="B30" s="180" t="s">
        <v>131</v>
      </c>
      <c r="G30" s="25">
        <v>8</v>
      </c>
      <c r="H30" s="180" t="s">
        <v>108</v>
      </c>
      <c r="M30" s="192"/>
      <c r="N30" s="183"/>
    </row>
    <row r="31" spans="2:19">
      <c r="B31" s="180" t="s">
        <v>66</v>
      </c>
      <c r="G31" s="19">
        <v>0</v>
      </c>
      <c r="J31" s="26"/>
      <c r="M31" s="192"/>
      <c r="N31" s="183"/>
    </row>
    <row r="32" spans="2:19">
      <c r="J32" s="26"/>
      <c r="N32" s="183"/>
    </row>
    <row r="33" spans="1:20">
      <c r="B33" s="5" t="s">
        <v>132</v>
      </c>
      <c r="C33" s="5"/>
      <c r="D33" s="5"/>
      <c r="E33" s="5"/>
      <c r="F33" s="5"/>
      <c r="G33" s="5"/>
      <c r="H33" s="5"/>
      <c r="I33" s="6"/>
      <c r="N33" s="183"/>
    </row>
    <row r="34" spans="1:20">
      <c r="B34" s="180" t="s">
        <v>133</v>
      </c>
      <c r="G34" s="19">
        <v>0.65</v>
      </c>
      <c r="H34" s="180" t="s">
        <v>134</v>
      </c>
      <c r="J34" s="16"/>
      <c r="N34" s="183"/>
    </row>
    <row r="35" spans="1:20">
      <c r="B35" s="180" t="s">
        <v>10</v>
      </c>
      <c r="G35" s="19">
        <v>0.05</v>
      </c>
      <c r="J35" s="16"/>
    </row>
    <row r="36" spans="1:20">
      <c r="B36" s="180" t="s">
        <v>81</v>
      </c>
      <c r="G36" s="50">
        <v>30</v>
      </c>
      <c r="H36" s="180" t="s">
        <v>135</v>
      </c>
    </row>
    <row r="37" spans="1:20">
      <c r="B37" s="180" t="s">
        <v>136</v>
      </c>
      <c r="G37" s="192">
        <f ca="1">G34*R19</f>
        <v>47728675.541174009</v>
      </c>
    </row>
    <row r="38" spans="1:20">
      <c r="B38" s="180" t="s">
        <v>137</v>
      </c>
      <c r="G38" s="192">
        <f ca="1">PMT(G35/12,G36*12,G37)</f>
        <v>-256217.85068232816</v>
      </c>
    </row>
    <row r="40" spans="1:20">
      <c r="A40" s="180" t="s">
        <v>1</v>
      </c>
      <c r="B40" s="5" t="s">
        <v>51</v>
      </c>
      <c r="C40" s="5"/>
      <c r="D40" s="5"/>
      <c r="E40" s="5"/>
      <c r="F40" s="5"/>
      <c r="G40" s="27">
        <v>0</v>
      </c>
      <c r="H40" s="27">
        <f>G40+1</f>
        <v>1</v>
      </c>
      <c r="I40" s="27">
        <f t="shared" ref="I40:R40" si="0">H40+1</f>
        <v>2</v>
      </c>
      <c r="J40" s="27">
        <f t="shared" si="0"/>
        <v>3</v>
      </c>
      <c r="K40" s="27">
        <f t="shared" si="0"/>
        <v>4</v>
      </c>
      <c r="L40" s="27">
        <f t="shared" si="0"/>
        <v>5</v>
      </c>
      <c r="M40" s="27">
        <f t="shared" si="0"/>
        <v>6</v>
      </c>
      <c r="N40" s="27">
        <f t="shared" si="0"/>
        <v>7</v>
      </c>
      <c r="O40" s="27">
        <f t="shared" si="0"/>
        <v>8</v>
      </c>
      <c r="P40" s="27">
        <f t="shared" si="0"/>
        <v>9</v>
      </c>
      <c r="Q40" s="27">
        <f t="shared" si="0"/>
        <v>10</v>
      </c>
      <c r="R40" s="27">
        <f t="shared" si="0"/>
        <v>11</v>
      </c>
      <c r="S40" s="27"/>
      <c r="T40" s="27"/>
    </row>
    <row r="41" spans="1:20">
      <c r="B41" s="180" t="s">
        <v>52</v>
      </c>
      <c r="H41" s="199">
        <f t="shared" ref="H41:R41" si="1">1-$G$24</f>
        <v>0.9</v>
      </c>
      <c r="I41" s="199">
        <f t="shared" si="1"/>
        <v>0.9</v>
      </c>
      <c r="J41" s="199">
        <f t="shared" si="1"/>
        <v>0.9</v>
      </c>
      <c r="K41" s="199">
        <f t="shared" si="1"/>
        <v>0.9</v>
      </c>
      <c r="L41" s="199">
        <f t="shared" si="1"/>
        <v>0.9</v>
      </c>
      <c r="M41" s="199">
        <f t="shared" si="1"/>
        <v>0.9</v>
      </c>
      <c r="N41" s="199">
        <f t="shared" si="1"/>
        <v>0.9</v>
      </c>
      <c r="O41" s="199">
        <f t="shared" si="1"/>
        <v>0.9</v>
      </c>
      <c r="P41" s="199">
        <f t="shared" si="1"/>
        <v>0.9</v>
      </c>
      <c r="Q41" s="199">
        <f t="shared" si="1"/>
        <v>0.9</v>
      </c>
      <c r="R41" s="199">
        <f t="shared" si="1"/>
        <v>0.9</v>
      </c>
      <c r="S41" s="199"/>
      <c r="T41" s="199"/>
    </row>
    <row r="42" spans="1:20">
      <c r="T42" s="199"/>
    </row>
    <row r="43" spans="1:20">
      <c r="B43" s="180" t="s">
        <v>138</v>
      </c>
      <c r="G43" s="192">
        <f ca="1">-R19+G9+G10</f>
        <v>-60879947.424083397</v>
      </c>
      <c r="T43" s="199"/>
    </row>
    <row r="44" spans="1:20">
      <c r="I44" s="200"/>
      <c r="T44" s="199"/>
    </row>
    <row r="45" spans="1:20">
      <c r="B45" s="180" t="s">
        <v>47</v>
      </c>
      <c r="H45" s="192">
        <f t="shared" ref="H45:R45" ca="1" si="2">$M$17*(1+$G$22)^G40</f>
        <v>5963507.2000000011</v>
      </c>
      <c r="I45" s="192">
        <f t="shared" ca="1" si="2"/>
        <v>6142412.4160000011</v>
      </c>
      <c r="J45" s="192">
        <f t="shared" ca="1" si="2"/>
        <v>6326684.7884800006</v>
      </c>
      <c r="K45" s="192">
        <f t="shared" ca="1" si="2"/>
        <v>6516485.3321344014</v>
      </c>
      <c r="L45" s="192">
        <f t="shared" ca="1" si="2"/>
        <v>6711979.8920984324</v>
      </c>
      <c r="M45" s="192">
        <f t="shared" ca="1" si="2"/>
        <v>6913339.2888613855</v>
      </c>
      <c r="N45" s="192">
        <f t="shared" ca="1" si="2"/>
        <v>7120739.4675272275</v>
      </c>
      <c r="O45" s="192">
        <f t="shared" ca="1" si="2"/>
        <v>7334361.651553045</v>
      </c>
      <c r="P45" s="192">
        <f t="shared" ca="1" si="2"/>
        <v>7554392.5010996349</v>
      </c>
      <c r="Q45" s="192">
        <f t="shared" ca="1" si="2"/>
        <v>7781024.2761326246</v>
      </c>
      <c r="R45" s="192">
        <f t="shared" ca="1" si="2"/>
        <v>8014455.0044166027</v>
      </c>
      <c r="S45" s="192"/>
      <c r="T45" s="199"/>
    </row>
    <row r="46" spans="1:20">
      <c r="C46" s="180" t="s">
        <v>60</v>
      </c>
      <c r="H46" s="192">
        <f ca="1">-(1-H41)*H45</f>
        <v>-596350.71999999997</v>
      </c>
      <c r="I46" s="192">
        <f t="shared" ref="I46:R46" ca="1" si="3">-(1-I41)*I45</f>
        <v>-614241.24159999995</v>
      </c>
      <c r="J46" s="192">
        <f t="shared" ca="1" si="3"/>
        <v>-632668.47884799994</v>
      </c>
      <c r="K46" s="192">
        <f t="shared" ca="1" si="3"/>
        <v>-651648.53321343998</v>
      </c>
      <c r="L46" s="192">
        <f t="shared" ca="1" si="3"/>
        <v>-671197.9892098431</v>
      </c>
      <c r="M46" s="192">
        <f t="shared" ca="1" si="3"/>
        <v>-691333.92888613837</v>
      </c>
      <c r="N46" s="192">
        <f t="shared" ca="1" si="3"/>
        <v>-712073.94675272261</v>
      </c>
      <c r="O46" s="192">
        <f t="shared" ca="1" si="3"/>
        <v>-733436.16515530436</v>
      </c>
      <c r="P46" s="192">
        <f t="shared" ca="1" si="3"/>
        <v>-755439.25010996335</v>
      </c>
      <c r="Q46" s="192">
        <f t="shared" ca="1" si="3"/>
        <v>-778102.42761326232</v>
      </c>
      <c r="R46" s="192">
        <f t="shared" ca="1" si="3"/>
        <v>-801445.50044166006</v>
      </c>
      <c r="S46" s="192"/>
      <c r="T46" s="199"/>
    </row>
    <row r="47" spans="1:20">
      <c r="C47" s="180" t="s">
        <v>128</v>
      </c>
      <c r="H47" s="192">
        <v>0</v>
      </c>
      <c r="I47" s="192">
        <v>0</v>
      </c>
      <c r="J47" s="192">
        <v>0</v>
      </c>
      <c r="K47" s="192">
        <v>0</v>
      </c>
      <c r="L47" s="192">
        <v>0</v>
      </c>
      <c r="M47" s="192">
        <v>0</v>
      </c>
      <c r="N47" s="192">
        <v>0</v>
      </c>
      <c r="O47" s="192">
        <v>0</v>
      </c>
      <c r="P47" s="192">
        <v>0</v>
      </c>
      <c r="Q47" s="192">
        <v>0</v>
      </c>
      <c r="R47" s="192">
        <v>0</v>
      </c>
      <c r="S47" s="192"/>
      <c r="T47" s="199"/>
    </row>
    <row r="48" spans="1:20">
      <c r="B48" s="195" t="s">
        <v>61</v>
      </c>
      <c r="C48" s="195"/>
      <c r="D48" s="195"/>
      <c r="E48" s="195"/>
      <c r="F48" s="195"/>
      <c r="G48" s="195"/>
      <c r="H48" s="196">
        <f ca="1">SUM(H45:H47)</f>
        <v>5367156.4800000014</v>
      </c>
      <c r="I48" s="196">
        <f t="shared" ref="I48:R48" ca="1" si="4">SUM(I45:I47)</f>
        <v>5528171.1744000008</v>
      </c>
      <c r="J48" s="196">
        <f t="shared" ca="1" si="4"/>
        <v>5694016.3096320005</v>
      </c>
      <c r="K48" s="196">
        <f t="shared" ca="1" si="4"/>
        <v>5864836.7989209611</v>
      </c>
      <c r="L48" s="196">
        <f t="shared" ca="1" si="4"/>
        <v>6040781.9028885895</v>
      </c>
      <c r="M48" s="196">
        <f t="shared" ca="1" si="4"/>
        <v>6222005.3599752467</v>
      </c>
      <c r="N48" s="196">
        <f t="shared" ca="1" si="4"/>
        <v>6408665.5207745051</v>
      </c>
      <c r="O48" s="196">
        <f t="shared" ca="1" si="4"/>
        <v>6600925.4863977404</v>
      </c>
      <c r="P48" s="196">
        <f t="shared" ca="1" si="4"/>
        <v>6798953.2509896718</v>
      </c>
      <c r="Q48" s="196">
        <f t="shared" ca="1" si="4"/>
        <v>7002921.8485193625</v>
      </c>
      <c r="R48" s="196">
        <f t="shared" ca="1" si="4"/>
        <v>7213009.5039749425</v>
      </c>
      <c r="S48" s="196"/>
      <c r="T48" s="199"/>
    </row>
    <row r="49" spans="2:20">
      <c r="T49" s="199"/>
    </row>
    <row r="50" spans="2:20">
      <c r="B50" s="180" t="s">
        <v>62</v>
      </c>
      <c r="T50" s="199"/>
    </row>
    <row r="51" spans="2:20">
      <c r="C51" s="180" t="str">
        <f>J22</f>
        <v>Repairs and Maintenance</v>
      </c>
      <c r="H51" s="192">
        <f t="shared" ref="H51:R54" ca="1" si="5">$M22*(1+$G$23)^G$40</f>
        <v>319473.60000000003</v>
      </c>
      <c r="I51" s="192">
        <f t="shared" ca="1" si="5"/>
        <v>325863.07200000004</v>
      </c>
      <c r="J51" s="192">
        <f t="shared" ca="1" si="5"/>
        <v>332380.33344000002</v>
      </c>
      <c r="K51" s="192">
        <f t="shared" ca="1" si="5"/>
        <v>339027.94010880002</v>
      </c>
      <c r="L51" s="192">
        <f t="shared" ca="1" si="5"/>
        <v>345808.49891097605</v>
      </c>
      <c r="M51" s="192">
        <f t="shared" ca="1" si="5"/>
        <v>352724.66888919554</v>
      </c>
      <c r="N51" s="192">
        <f t="shared" ca="1" si="5"/>
        <v>359779.16226697952</v>
      </c>
      <c r="O51" s="192">
        <f t="shared" ca="1" si="5"/>
        <v>366974.74551231897</v>
      </c>
      <c r="P51" s="192">
        <f t="shared" ca="1" si="5"/>
        <v>374314.24042256543</v>
      </c>
      <c r="Q51" s="192">
        <f t="shared" ca="1" si="5"/>
        <v>381800.52523101674</v>
      </c>
      <c r="R51" s="192">
        <f t="shared" ca="1" si="5"/>
        <v>389436.53573563707</v>
      </c>
      <c r="S51" s="192"/>
      <c r="T51" s="199"/>
    </row>
    <row r="52" spans="2:20">
      <c r="C52" s="180" t="str">
        <f>J23</f>
        <v>Administrative</v>
      </c>
      <c r="H52" s="192">
        <f t="shared" ca="1" si="5"/>
        <v>319473.60000000003</v>
      </c>
      <c r="I52" s="192">
        <f t="shared" ca="1" si="5"/>
        <v>325863.07200000004</v>
      </c>
      <c r="J52" s="192">
        <f t="shared" ca="1" si="5"/>
        <v>332380.33344000002</v>
      </c>
      <c r="K52" s="192">
        <f t="shared" ca="1" si="5"/>
        <v>339027.94010880002</v>
      </c>
      <c r="L52" s="192">
        <f t="shared" ca="1" si="5"/>
        <v>345808.49891097605</v>
      </c>
      <c r="M52" s="192">
        <f t="shared" ca="1" si="5"/>
        <v>352724.66888919554</v>
      </c>
      <c r="N52" s="192">
        <f t="shared" ca="1" si="5"/>
        <v>359779.16226697952</v>
      </c>
      <c r="O52" s="192">
        <f t="shared" ca="1" si="5"/>
        <v>366974.74551231897</v>
      </c>
      <c r="P52" s="192">
        <f t="shared" ca="1" si="5"/>
        <v>374314.24042256543</v>
      </c>
      <c r="Q52" s="192">
        <f t="shared" ca="1" si="5"/>
        <v>381800.52523101674</v>
      </c>
      <c r="R52" s="192">
        <f t="shared" ca="1" si="5"/>
        <v>389436.53573563707</v>
      </c>
      <c r="S52" s="192"/>
      <c r="T52" s="199"/>
    </row>
    <row r="53" spans="2:20">
      <c r="C53" s="180" t="str">
        <f>J24</f>
        <v>Utilities</v>
      </c>
      <c r="H53" s="192">
        <f t="shared" ca="1" si="5"/>
        <v>425964.80000000005</v>
      </c>
      <c r="I53" s="192">
        <f t="shared" ca="1" si="5"/>
        <v>434484.09600000008</v>
      </c>
      <c r="J53" s="192">
        <f t="shared" ca="1" si="5"/>
        <v>443173.77792000002</v>
      </c>
      <c r="K53" s="192">
        <f t="shared" ca="1" si="5"/>
        <v>452037.2534784</v>
      </c>
      <c r="L53" s="192">
        <f t="shared" ca="1" si="5"/>
        <v>461077.99854796805</v>
      </c>
      <c r="M53" s="192">
        <f t="shared" ca="1" si="5"/>
        <v>470299.55851892743</v>
      </c>
      <c r="N53" s="192">
        <f t="shared" ca="1" si="5"/>
        <v>479705.549689306</v>
      </c>
      <c r="O53" s="192">
        <f t="shared" ca="1" si="5"/>
        <v>489299.66068309202</v>
      </c>
      <c r="P53" s="192">
        <f t="shared" ca="1" si="5"/>
        <v>499085.65389675391</v>
      </c>
      <c r="Q53" s="192">
        <f t="shared" ca="1" si="5"/>
        <v>509067.36697468895</v>
      </c>
      <c r="R53" s="192">
        <f t="shared" ca="1" si="5"/>
        <v>519248.71431418275</v>
      </c>
      <c r="S53" s="192"/>
      <c r="T53" s="199"/>
    </row>
    <row r="54" spans="2:20">
      <c r="C54" s="180" t="str">
        <f>J25</f>
        <v>Real Estate Taxes</v>
      </c>
      <c r="H54" s="192">
        <f t="shared" ca="1" si="5"/>
        <v>407804.27287067258</v>
      </c>
      <c r="I54" s="192">
        <f t="shared" ca="1" si="5"/>
        <v>415960.35832808603</v>
      </c>
      <c r="J54" s="192">
        <f t="shared" ca="1" si="5"/>
        <v>424279.56549464772</v>
      </c>
      <c r="K54" s="192">
        <f t="shared" ca="1" si="5"/>
        <v>432765.15680454066</v>
      </c>
      <c r="L54" s="192">
        <f t="shared" ca="1" si="5"/>
        <v>441420.45994063152</v>
      </c>
      <c r="M54" s="192">
        <f t="shared" ca="1" si="5"/>
        <v>450248.86913944414</v>
      </c>
      <c r="N54" s="192">
        <f t="shared" ca="1" si="5"/>
        <v>459253.84652223304</v>
      </c>
      <c r="O54" s="192">
        <f t="shared" ca="1" si="5"/>
        <v>468438.92345267761</v>
      </c>
      <c r="P54" s="192">
        <f t="shared" ca="1" si="5"/>
        <v>477807.70192173123</v>
      </c>
      <c r="Q54" s="192">
        <f t="shared" ca="1" si="5"/>
        <v>487363.85596016585</v>
      </c>
      <c r="R54" s="192">
        <f t="shared" ca="1" si="5"/>
        <v>497111.1330793692</v>
      </c>
      <c r="S54" s="192"/>
      <c r="T54" s="199"/>
    </row>
    <row r="55" spans="2:20">
      <c r="C55" s="180" t="str">
        <f>J26</f>
        <v>Property Mgmt Fee (% gross revs)</v>
      </c>
      <c r="H55" s="192">
        <f t="shared" ref="H55:R55" ca="1" si="6">H45*$N$26</f>
        <v>178905.21600000001</v>
      </c>
      <c r="I55" s="192">
        <f t="shared" ca="1" si="6"/>
        <v>184272.37248000002</v>
      </c>
      <c r="J55" s="192">
        <f t="shared" ca="1" si="6"/>
        <v>189800.54365440001</v>
      </c>
      <c r="K55" s="192">
        <f t="shared" ca="1" si="6"/>
        <v>195494.55996403203</v>
      </c>
      <c r="L55" s="192">
        <f t="shared" ca="1" si="6"/>
        <v>201359.39676295297</v>
      </c>
      <c r="M55" s="192">
        <f t="shared" ca="1" si="6"/>
        <v>207400.17866584155</v>
      </c>
      <c r="N55" s="192">
        <f t="shared" ca="1" si="6"/>
        <v>213622.18402581682</v>
      </c>
      <c r="O55" s="192">
        <f t="shared" ca="1" si="6"/>
        <v>220030.84954659134</v>
      </c>
      <c r="P55" s="192">
        <f t="shared" ca="1" si="6"/>
        <v>226631.77503298904</v>
      </c>
      <c r="Q55" s="192">
        <f t="shared" ca="1" si="6"/>
        <v>233430.72828397874</v>
      </c>
      <c r="R55" s="192">
        <f t="shared" ca="1" si="6"/>
        <v>240433.65013249806</v>
      </c>
      <c r="S55" s="192"/>
      <c r="T55" s="199"/>
    </row>
    <row r="56" spans="2:20">
      <c r="B56" s="195" t="s">
        <v>126</v>
      </c>
      <c r="C56" s="195"/>
      <c r="D56" s="195"/>
      <c r="E56" s="195"/>
      <c r="F56" s="195"/>
      <c r="G56" s="195"/>
      <c r="H56" s="196">
        <f t="shared" ref="H56:R56" ca="1" si="7">SUM(H51:H55)</f>
        <v>1651621.4888706726</v>
      </c>
      <c r="I56" s="196">
        <f t="shared" ca="1" si="7"/>
        <v>1686442.9708080865</v>
      </c>
      <c r="J56" s="196">
        <f t="shared" ca="1" si="7"/>
        <v>1722014.5539490478</v>
      </c>
      <c r="K56" s="196">
        <f t="shared" ca="1" si="7"/>
        <v>1758352.8504645727</v>
      </c>
      <c r="L56" s="196">
        <f t="shared" ca="1" si="7"/>
        <v>1795474.8530735045</v>
      </c>
      <c r="M56" s="196">
        <f t="shared" ca="1" si="7"/>
        <v>1833397.9441026039</v>
      </c>
      <c r="N56" s="196">
        <f t="shared" ca="1" si="7"/>
        <v>1872139.9047713149</v>
      </c>
      <c r="O56" s="196">
        <f t="shared" ca="1" si="7"/>
        <v>1911718.924706999</v>
      </c>
      <c r="P56" s="196">
        <f t="shared" ca="1" si="7"/>
        <v>1952153.6116966049</v>
      </c>
      <c r="Q56" s="196">
        <f t="shared" ca="1" si="7"/>
        <v>1993463.001680867</v>
      </c>
      <c r="R56" s="196">
        <f t="shared" ca="1" si="7"/>
        <v>2035666.5689973242</v>
      </c>
      <c r="S56" s="196"/>
      <c r="T56" s="199"/>
    </row>
    <row r="57" spans="2:20">
      <c r="T57" s="199"/>
    </row>
    <row r="58" spans="2:20">
      <c r="B58" s="180" t="s">
        <v>64</v>
      </c>
      <c r="H58" s="192">
        <f t="shared" ref="H58:R58" ca="1" si="8">H48-H56</f>
        <v>3715534.9911293285</v>
      </c>
      <c r="I58" s="192">
        <f t="shared" ca="1" si="8"/>
        <v>3841728.2035919144</v>
      </c>
      <c r="J58" s="192">
        <f t="shared" ca="1" si="8"/>
        <v>3972001.7556829527</v>
      </c>
      <c r="K58" s="192">
        <f t="shared" ca="1" si="8"/>
        <v>4106483.9484563884</v>
      </c>
      <c r="L58" s="192">
        <f t="shared" ca="1" si="8"/>
        <v>4245307.0498150848</v>
      </c>
      <c r="M58" s="192">
        <f t="shared" ca="1" si="8"/>
        <v>4388607.4158726428</v>
      </c>
      <c r="N58" s="192">
        <f t="shared" ca="1" si="8"/>
        <v>4536525.6160031902</v>
      </c>
      <c r="O58" s="192">
        <f t="shared" ca="1" si="8"/>
        <v>4689206.5616907412</v>
      </c>
      <c r="P58" s="192">
        <f t="shared" ca="1" si="8"/>
        <v>4846799.6392930672</v>
      </c>
      <c r="Q58" s="192">
        <f t="shared" ca="1" si="8"/>
        <v>5009458.8468384957</v>
      </c>
      <c r="R58" s="192">
        <f t="shared" ca="1" si="8"/>
        <v>5177342.934977618</v>
      </c>
      <c r="S58" s="192"/>
      <c r="T58" s="199"/>
    </row>
    <row r="59" spans="2:20">
      <c r="T59" s="199"/>
    </row>
    <row r="60" spans="2:20">
      <c r="B60" s="180" t="s">
        <v>139</v>
      </c>
    </row>
    <row r="61" spans="2:20">
      <c r="C61" s="180" t="s">
        <v>140</v>
      </c>
      <c r="G61" s="192">
        <f ca="1">-IF($G$30=10,SUM(H93:R93)*G17,SUM(H93:L93)*$G$17)</f>
        <v>-1899664.1777227703</v>
      </c>
    </row>
    <row r="62" spans="2:20">
      <c r="C62" s="180" t="s">
        <v>141</v>
      </c>
      <c r="G62" s="192">
        <f ca="1">-G25*G17</f>
        <v>-10649120.000000002</v>
      </c>
    </row>
    <row r="64" spans="2:20">
      <c r="B64" s="180" t="s">
        <v>142</v>
      </c>
      <c r="G64" s="192">
        <f ca="1">IF(G40&lt;=$G$30+1,G43+G58+SUM(G61:G62),0)</f>
        <v>-73428731.601806164</v>
      </c>
      <c r="H64" s="192">
        <f ca="1">IF(H40&lt;=$G$30+1,H43+H58+SUM(H61:H62),0)</f>
        <v>3715534.9911293285</v>
      </c>
      <c r="I64" s="192">
        <f t="shared" ref="I64:R64" ca="1" si="9">IF(I40&lt;=$G$30+1,I43+I58+SUM(I61:I62),0)</f>
        <v>3841728.2035919144</v>
      </c>
      <c r="J64" s="192">
        <f t="shared" ca="1" si="9"/>
        <v>3972001.7556829527</v>
      </c>
      <c r="K64" s="192">
        <f t="shared" ca="1" si="9"/>
        <v>4106483.9484563884</v>
      </c>
      <c r="L64" s="192">
        <f t="shared" ca="1" si="9"/>
        <v>4245307.0498150848</v>
      </c>
      <c r="M64" s="192">
        <f t="shared" ca="1" si="9"/>
        <v>4388607.4158726428</v>
      </c>
      <c r="N64" s="192">
        <f t="shared" ca="1" si="9"/>
        <v>4536525.6160031902</v>
      </c>
      <c r="O64" s="192">
        <f t="shared" ca="1" si="9"/>
        <v>4689206.5616907412</v>
      </c>
      <c r="P64" s="192">
        <f t="shared" ca="1" si="9"/>
        <v>4846799.6392930672</v>
      </c>
      <c r="Q64" s="192">
        <f t="shared" si="9"/>
        <v>0</v>
      </c>
      <c r="R64" s="192">
        <f t="shared" si="9"/>
        <v>0</v>
      </c>
      <c r="S64" s="192"/>
      <c r="T64" s="192"/>
    </row>
    <row r="65" spans="2:20"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</row>
    <row r="66" spans="2:20">
      <c r="B66" s="180" t="s">
        <v>65</v>
      </c>
      <c r="H66" s="192">
        <f t="shared" ref="H66:R66" si="10">IF(H40=$G$30,I64/$G$28,0)</f>
        <v>0</v>
      </c>
      <c r="I66" s="192">
        <f t="shared" si="10"/>
        <v>0</v>
      </c>
      <c r="J66" s="192">
        <f t="shared" si="10"/>
        <v>0</v>
      </c>
      <c r="K66" s="192">
        <f t="shared" si="10"/>
        <v>0</v>
      </c>
      <c r="L66" s="192">
        <f t="shared" si="10"/>
        <v>0</v>
      </c>
      <c r="M66" s="192">
        <f t="shared" si="10"/>
        <v>0</v>
      </c>
      <c r="N66" s="192">
        <f t="shared" si="10"/>
        <v>0</v>
      </c>
      <c r="O66" s="192">
        <f t="shared" ca="1" si="10"/>
        <v>88123629.805328488</v>
      </c>
      <c r="P66" s="192">
        <f t="shared" si="10"/>
        <v>0</v>
      </c>
      <c r="Q66" s="192">
        <f t="shared" si="10"/>
        <v>0</v>
      </c>
      <c r="R66" s="192">
        <f t="shared" si="10"/>
        <v>0</v>
      </c>
      <c r="S66" s="192"/>
      <c r="T66" s="192"/>
    </row>
    <row r="67" spans="2:20">
      <c r="B67" s="180" t="s">
        <v>66</v>
      </c>
      <c r="H67" s="192">
        <f>-H66*$G$31</f>
        <v>0</v>
      </c>
      <c r="I67" s="192">
        <f t="shared" ref="I67:R67" si="11">-I66*$G$31</f>
        <v>0</v>
      </c>
      <c r="J67" s="192">
        <f t="shared" si="11"/>
        <v>0</v>
      </c>
      <c r="K67" s="192">
        <f t="shared" si="11"/>
        <v>0</v>
      </c>
      <c r="L67" s="192">
        <f t="shared" si="11"/>
        <v>0</v>
      </c>
      <c r="M67" s="192">
        <f t="shared" si="11"/>
        <v>0</v>
      </c>
      <c r="N67" s="192">
        <f t="shared" si="11"/>
        <v>0</v>
      </c>
      <c r="O67" s="192">
        <f t="shared" ca="1" si="11"/>
        <v>0</v>
      </c>
      <c r="P67" s="192">
        <f t="shared" si="11"/>
        <v>0</v>
      </c>
      <c r="Q67" s="192">
        <f t="shared" si="11"/>
        <v>0</v>
      </c>
      <c r="R67" s="192">
        <f t="shared" si="11"/>
        <v>0</v>
      </c>
      <c r="S67" s="192"/>
      <c r="T67" s="192"/>
    </row>
    <row r="68" spans="2:20">
      <c r="B68" s="201" t="s">
        <v>67</v>
      </c>
      <c r="C68" s="201"/>
      <c r="D68" s="201"/>
      <c r="E68" s="201"/>
      <c r="F68" s="201"/>
      <c r="G68" s="202">
        <f ca="1">SUM(G64:G67)</f>
        <v>-73428731.601806164</v>
      </c>
      <c r="H68" s="202">
        <f t="shared" ref="H68:R68" ca="1" si="12">SUM(H64:H67)</f>
        <v>3715534.9911293285</v>
      </c>
      <c r="I68" s="202">
        <f t="shared" ca="1" si="12"/>
        <v>3841728.2035919144</v>
      </c>
      <c r="J68" s="202">
        <f t="shared" ca="1" si="12"/>
        <v>3972001.7556829527</v>
      </c>
      <c r="K68" s="202">
        <f t="shared" ca="1" si="12"/>
        <v>4106483.9484563884</v>
      </c>
      <c r="L68" s="202">
        <f t="shared" ca="1" si="12"/>
        <v>4245307.0498150848</v>
      </c>
      <c r="M68" s="202">
        <f t="shared" ca="1" si="12"/>
        <v>4388607.4158726428</v>
      </c>
      <c r="N68" s="202">
        <f t="shared" ca="1" si="12"/>
        <v>4536525.6160031902</v>
      </c>
      <c r="O68" s="202">
        <f t="shared" ca="1" si="12"/>
        <v>92812836.367019236</v>
      </c>
      <c r="P68" s="202">
        <f t="shared" ca="1" si="12"/>
        <v>4846799.6392930672</v>
      </c>
      <c r="Q68" s="202">
        <f t="shared" si="12"/>
        <v>0</v>
      </c>
      <c r="R68" s="202">
        <f t="shared" si="12"/>
        <v>0</v>
      </c>
      <c r="S68" s="196"/>
      <c r="T68" s="192"/>
    </row>
    <row r="69" spans="2:20" ht="16" thickBot="1"/>
    <row r="70" spans="2:20">
      <c r="B70" s="203" t="s">
        <v>68</v>
      </c>
      <c r="C70" s="204"/>
      <c r="D70" s="204"/>
      <c r="E70" s="204"/>
      <c r="F70" s="204"/>
      <c r="G70" s="205">
        <f ca="1">SUM(G68:R68)</f>
        <v>53037093.385057636</v>
      </c>
    </row>
    <row r="71" spans="2:20">
      <c r="B71" s="206" t="s">
        <v>69</v>
      </c>
      <c r="G71" s="207">
        <f ca="1">NPV($R$26,H68:R68)</f>
        <v>76156468.745737895</v>
      </c>
    </row>
    <row r="72" spans="2:20">
      <c r="B72" s="206" t="s">
        <v>70</v>
      </c>
      <c r="G72" s="207">
        <f ca="1">G71+G68</f>
        <v>2727737.1439317316</v>
      </c>
    </row>
    <row r="73" spans="2:20">
      <c r="B73" s="206" t="s">
        <v>71</v>
      </c>
      <c r="G73" s="208">
        <f ca="1">IRR(G68:R68)</f>
        <v>8.0745824101900121E-2</v>
      </c>
    </row>
    <row r="74" spans="2:20" ht="16" thickBot="1">
      <c r="B74" s="209" t="s">
        <v>72</v>
      </c>
      <c r="C74" s="210"/>
      <c r="D74" s="210"/>
      <c r="E74" s="210"/>
      <c r="F74" s="210"/>
      <c r="G74" s="211">
        <f ca="1">(G70/-G68)+1</f>
        <v>1.7222934705269108</v>
      </c>
    </row>
    <row r="76" spans="2:20">
      <c r="B76" s="180" t="s">
        <v>73</v>
      </c>
      <c r="G76" s="192">
        <f ca="1">G37</f>
        <v>47728675.541174009</v>
      </c>
    </row>
    <row r="77" spans="2:20">
      <c r="B77" s="180" t="s">
        <v>74</v>
      </c>
      <c r="H77" s="192">
        <f t="shared" ref="H77:R77" si="13">IF(H40=$G$30,FV($G$35/12,H40*12,$G$38,$G$37),0)</f>
        <v>0</v>
      </c>
      <c r="I77" s="192">
        <f t="shared" si="13"/>
        <v>0</v>
      </c>
      <c r="J77" s="192">
        <f t="shared" si="13"/>
        <v>0</v>
      </c>
      <c r="K77" s="192">
        <f t="shared" si="13"/>
        <v>0</v>
      </c>
      <c r="L77" s="192">
        <f t="shared" si="13"/>
        <v>0</v>
      </c>
      <c r="M77" s="192">
        <f t="shared" si="13"/>
        <v>0</v>
      </c>
      <c r="N77" s="192">
        <f t="shared" si="13"/>
        <v>0</v>
      </c>
      <c r="O77" s="192">
        <f t="shared" ca="1" si="13"/>
        <v>-40976449.16475907</v>
      </c>
      <c r="P77" s="192">
        <f t="shared" si="13"/>
        <v>0</v>
      </c>
      <c r="Q77" s="192">
        <f t="shared" si="13"/>
        <v>0</v>
      </c>
      <c r="R77" s="192">
        <f t="shared" si="13"/>
        <v>0</v>
      </c>
      <c r="S77" s="192"/>
      <c r="T77" s="192"/>
    </row>
    <row r="78" spans="2:20">
      <c r="B78" s="180" t="s">
        <v>75</v>
      </c>
      <c r="H78" s="192">
        <f ca="1">IF(H40&lt;=$G$30,$G$38*12,0)</f>
        <v>-3074614.2081879377</v>
      </c>
      <c r="I78" s="192">
        <f t="shared" ref="I78:R78" ca="1" si="14">IF(I40&lt;=$G$30,$G$38*12,0)</f>
        <v>-3074614.2081879377</v>
      </c>
      <c r="J78" s="192">
        <f t="shared" ca="1" si="14"/>
        <v>-3074614.2081879377</v>
      </c>
      <c r="K78" s="192">
        <f t="shared" ca="1" si="14"/>
        <v>-3074614.2081879377</v>
      </c>
      <c r="L78" s="192">
        <f t="shared" ca="1" si="14"/>
        <v>-3074614.2081879377</v>
      </c>
      <c r="M78" s="192">
        <f t="shared" ca="1" si="14"/>
        <v>-3074614.2081879377</v>
      </c>
      <c r="N78" s="192">
        <f t="shared" ca="1" si="14"/>
        <v>-3074614.2081879377</v>
      </c>
      <c r="O78" s="192">
        <f t="shared" ca="1" si="14"/>
        <v>-3074614.2081879377</v>
      </c>
      <c r="P78" s="192">
        <f t="shared" si="14"/>
        <v>0</v>
      </c>
      <c r="Q78" s="192">
        <f t="shared" si="14"/>
        <v>0</v>
      </c>
      <c r="R78" s="192">
        <f t="shared" si="14"/>
        <v>0</v>
      </c>
      <c r="S78" s="192"/>
      <c r="T78" s="192"/>
    </row>
    <row r="79" spans="2:20">
      <c r="B79" s="325" t="s">
        <v>438</v>
      </c>
      <c r="H79" s="219">
        <f ca="1">SUM(H77:H78)</f>
        <v>-3074614.2081879377</v>
      </c>
      <c r="I79" s="219">
        <f t="shared" ref="I79:Q79" ca="1" si="15">SUM(I77:I78)</f>
        <v>-3074614.2081879377</v>
      </c>
      <c r="J79" s="219">
        <f t="shared" ca="1" si="15"/>
        <v>-3074614.2081879377</v>
      </c>
      <c r="K79" s="219">
        <f t="shared" ca="1" si="15"/>
        <v>-3074614.2081879377</v>
      </c>
      <c r="L79" s="219">
        <f t="shared" ca="1" si="15"/>
        <v>-3074614.2081879377</v>
      </c>
      <c r="M79" s="219">
        <f t="shared" ca="1" si="15"/>
        <v>-3074614.2081879377</v>
      </c>
      <c r="N79" s="219">
        <f t="shared" ca="1" si="15"/>
        <v>-3074614.2081879377</v>
      </c>
      <c r="O79" s="219">
        <f t="shared" ca="1" si="15"/>
        <v>-44051063.372947007</v>
      </c>
      <c r="P79" s="219">
        <f t="shared" si="15"/>
        <v>0</v>
      </c>
      <c r="Q79" s="219">
        <f t="shared" si="15"/>
        <v>0</v>
      </c>
    </row>
    <row r="80" spans="2:20">
      <c r="B80" s="212" t="s">
        <v>76</v>
      </c>
      <c r="C80" s="212"/>
      <c r="D80" s="212"/>
      <c r="E80" s="212"/>
      <c r="F80" s="212"/>
      <c r="G80" s="213">
        <f t="shared" ref="G80:R80" ca="1" si="16">IF(G40&lt;=$G$30,SUM(G68,G76:G78),0)</f>
        <v>-25700056.060632154</v>
      </c>
      <c r="H80" s="213">
        <f t="shared" ca="1" si="16"/>
        <v>640920.78294139076</v>
      </c>
      <c r="I80" s="213">
        <f t="shared" ca="1" si="16"/>
        <v>767113.99540397665</v>
      </c>
      <c r="J80" s="213">
        <f t="shared" ca="1" si="16"/>
        <v>897387.54749501497</v>
      </c>
      <c r="K80" s="213">
        <f t="shared" ca="1" si="16"/>
        <v>1031869.7402684507</v>
      </c>
      <c r="L80" s="213">
        <f t="shared" ca="1" si="16"/>
        <v>1170692.841627147</v>
      </c>
      <c r="M80" s="213">
        <f t="shared" ca="1" si="16"/>
        <v>1313993.207684705</v>
      </c>
      <c r="N80" s="213">
        <f t="shared" ca="1" si="16"/>
        <v>1461911.4078152524</v>
      </c>
      <c r="O80" s="213">
        <f t="shared" ca="1" si="16"/>
        <v>48761772.994072229</v>
      </c>
      <c r="P80" s="213">
        <f t="shared" si="16"/>
        <v>0</v>
      </c>
      <c r="Q80" s="213">
        <f t="shared" si="16"/>
        <v>0</v>
      </c>
      <c r="R80" s="213">
        <f t="shared" si="16"/>
        <v>0</v>
      </c>
      <c r="S80" s="192"/>
      <c r="T80" s="192"/>
    </row>
    <row r="81" spans="1:20" ht="16" thickBot="1"/>
    <row r="82" spans="1:20">
      <c r="B82" s="203" t="s">
        <v>68</v>
      </c>
      <c r="C82" s="204"/>
      <c r="D82" s="204"/>
      <c r="E82" s="204"/>
      <c r="F82" s="204"/>
      <c r="G82" s="205">
        <f ca="1">SUM(G80:R80)</f>
        <v>30345606.45667601</v>
      </c>
    </row>
    <row r="83" spans="1:20">
      <c r="B83" s="206" t="s">
        <v>69</v>
      </c>
      <c r="G83" s="207">
        <f ca="1">NPV($R$26,H80:R80)</f>
        <v>32643922.862978317</v>
      </c>
    </row>
    <row r="84" spans="1:20">
      <c r="B84" s="206" t="s">
        <v>70</v>
      </c>
      <c r="G84" s="207">
        <f ca="1">G83+G80</f>
        <v>6943866.8023461625</v>
      </c>
    </row>
    <row r="85" spans="1:20">
      <c r="B85" s="206" t="s">
        <v>77</v>
      </c>
      <c r="G85" s="214">
        <f ca="1">IRR(G80:R80)</f>
        <v>0.1105684868150465</v>
      </c>
    </row>
    <row r="86" spans="1:20" ht="16" thickBot="1">
      <c r="B86" s="209" t="s">
        <v>72</v>
      </c>
      <c r="C86" s="210"/>
      <c r="D86" s="210"/>
      <c r="E86" s="210"/>
      <c r="F86" s="210"/>
      <c r="G86" s="211">
        <f ca="1">(G82/-G80)+1</f>
        <v>2.1807603214982865</v>
      </c>
    </row>
    <row r="88" spans="1:20">
      <c r="A88" s="40" t="s">
        <v>1</v>
      </c>
      <c r="B88" s="5" t="s">
        <v>143</v>
      </c>
      <c r="C88" s="5"/>
      <c r="D88" s="5"/>
      <c r="E88" s="5"/>
      <c r="F88" s="5"/>
      <c r="G88" s="5"/>
      <c r="H88" s="27">
        <f t="shared" ref="H88:R88" si="17">H40</f>
        <v>1</v>
      </c>
      <c r="I88" s="27">
        <f t="shared" si="17"/>
        <v>2</v>
      </c>
      <c r="J88" s="27">
        <f t="shared" si="17"/>
        <v>3</v>
      </c>
      <c r="K88" s="27">
        <f t="shared" si="17"/>
        <v>4</v>
      </c>
      <c r="L88" s="27">
        <f t="shared" si="17"/>
        <v>5</v>
      </c>
      <c r="M88" s="27">
        <f t="shared" si="17"/>
        <v>6</v>
      </c>
      <c r="N88" s="27">
        <f t="shared" si="17"/>
        <v>7</v>
      </c>
      <c r="O88" s="27">
        <f t="shared" si="17"/>
        <v>8</v>
      </c>
      <c r="P88" s="27">
        <f t="shared" si="17"/>
        <v>9</v>
      </c>
      <c r="Q88" s="27">
        <f t="shared" si="17"/>
        <v>10</v>
      </c>
      <c r="R88" s="27">
        <f t="shared" si="17"/>
        <v>11</v>
      </c>
      <c r="S88" s="27"/>
      <c r="T88" s="27"/>
    </row>
    <row r="89" spans="1:20">
      <c r="B89" s="180" t="s">
        <v>144</v>
      </c>
      <c r="H89" s="193">
        <f t="shared" ref="H89:R89" ca="1" si="18">H45/$G$17</f>
        <v>28.000000000000004</v>
      </c>
      <c r="I89" s="193">
        <f t="shared" ca="1" si="18"/>
        <v>28.840000000000003</v>
      </c>
      <c r="J89" s="193">
        <f t="shared" ca="1" si="18"/>
        <v>29.705199999999998</v>
      </c>
      <c r="K89" s="193">
        <f t="shared" ca="1" si="18"/>
        <v>30.596356000000004</v>
      </c>
      <c r="L89" s="193">
        <f t="shared" ca="1" si="18"/>
        <v>31.514246679999999</v>
      </c>
      <c r="M89" s="193">
        <f t="shared" ca="1" si="18"/>
        <v>32.459674080399999</v>
      </c>
      <c r="N89" s="193">
        <f t="shared" ca="1" si="18"/>
        <v>33.433464302811998</v>
      </c>
      <c r="O89" s="193">
        <f t="shared" ca="1" si="18"/>
        <v>34.436468231896363</v>
      </c>
      <c r="P89" s="193">
        <f t="shared" ca="1" si="18"/>
        <v>35.469562278853246</v>
      </c>
      <c r="Q89" s="193">
        <f t="shared" ca="1" si="18"/>
        <v>36.533649147218846</v>
      </c>
      <c r="R89" s="193">
        <f t="shared" ca="1" si="18"/>
        <v>37.629658621635414</v>
      </c>
      <c r="S89" s="193"/>
      <c r="T89" s="193"/>
    </row>
    <row r="90" spans="1:20">
      <c r="B90" s="180" t="s">
        <v>128</v>
      </c>
      <c r="H90" s="193">
        <f ca="1">H47/$G$17</f>
        <v>0</v>
      </c>
      <c r="I90" s="193">
        <f t="shared" ref="I90:R90" ca="1" si="19">I47/$G$17</f>
        <v>0</v>
      </c>
      <c r="J90" s="193">
        <f t="shared" ca="1" si="19"/>
        <v>0</v>
      </c>
      <c r="K90" s="193">
        <f t="shared" ca="1" si="19"/>
        <v>0</v>
      </c>
      <c r="L90" s="193">
        <f t="shared" ca="1" si="19"/>
        <v>0</v>
      </c>
      <c r="M90" s="193">
        <f t="shared" ca="1" si="19"/>
        <v>0</v>
      </c>
      <c r="N90" s="193">
        <f t="shared" ca="1" si="19"/>
        <v>0</v>
      </c>
      <c r="O90" s="193">
        <f t="shared" ca="1" si="19"/>
        <v>0</v>
      </c>
      <c r="P90" s="193">
        <f t="shared" ca="1" si="19"/>
        <v>0</v>
      </c>
      <c r="Q90" s="193">
        <f t="shared" ca="1" si="19"/>
        <v>0</v>
      </c>
      <c r="R90" s="193">
        <f t="shared" ca="1" si="19"/>
        <v>0</v>
      </c>
      <c r="S90" s="193"/>
      <c r="T90" s="193"/>
    </row>
    <row r="91" spans="1:20">
      <c r="B91" s="180" t="s">
        <v>37</v>
      </c>
      <c r="H91" s="193">
        <f ca="1">H89-H90</f>
        <v>28.000000000000004</v>
      </c>
      <c r="I91" s="193">
        <f t="shared" ref="I91:R91" ca="1" si="20">I89-I90</f>
        <v>28.840000000000003</v>
      </c>
      <c r="J91" s="193">
        <f t="shared" ca="1" si="20"/>
        <v>29.705199999999998</v>
      </c>
      <c r="K91" s="193">
        <f t="shared" ca="1" si="20"/>
        <v>30.596356000000004</v>
      </c>
      <c r="L91" s="193">
        <f t="shared" ca="1" si="20"/>
        <v>31.514246679999999</v>
      </c>
      <c r="M91" s="193">
        <f t="shared" ca="1" si="20"/>
        <v>32.459674080399999</v>
      </c>
      <c r="N91" s="193">
        <f t="shared" ca="1" si="20"/>
        <v>33.433464302811998</v>
      </c>
      <c r="O91" s="193">
        <f t="shared" ca="1" si="20"/>
        <v>34.436468231896363</v>
      </c>
      <c r="P91" s="193">
        <f t="shared" ca="1" si="20"/>
        <v>35.469562278853246</v>
      </c>
      <c r="Q91" s="193">
        <f t="shared" ca="1" si="20"/>
        <v>36.533649147218846</v>
      </c>
      <c r="R91" s="193">
        <f t="shared" ca="1" si="20"/>
        <v>37.629658621635414</v>
      </c>
      <c r="S91" s="193"/>
      <c r="T91" s="193"/>
    </row>
    <row r="92" spans="1:20">
      <c r="B92" s="180" t="s">
        <v>145</v>
      </c>
      <c r="H92" s="199">
        <f>$G$26</f>
        <v>0.06</v>
      </c>
      <c r="I92" s="199">
        <f t="shared" ref="I92:R92" si="21">$G$26</f>
        <v>0.06</v>
      </c>
      <c r="J92" s="199">
        <f t="shared" si="21"/>
        <v>0.06</v>
      </c>
      <c r="K92" s="199">
        <f t="shared" si="21"/>
        <v>0.06</v>
      </c>
      <c r="L92" s="199">
        <f t="shared" si="21"/>
        <v>0.06</v>
      </c>
      <c r="M92" s="199">
        <f t="shared" si="21"/>
        <v>0.06</v>
      </c>
      <c r="N92" s="199">
        <f t="shared" si="21"/>
        <v>0.06</v>
      </c>
      <c r="O92" s="199">
        <f t="shared" si="21"/>
        <v>0.06</v>
      </c>
      <c r="P92" s="199">
        <f t="shared" si="21"/>
        <v>0.06</v>
      </c>
      <c r="Q92" s="199">
        <f t="shared" si="21"/>
        <v>0.06</v>
      </c>
      <c r="R92" s="199">
        <f t="shared" si="21"/>
        <v>0.06</v>
      </c>
      <c r="S92" s="199"/>
      <c r="T92" s="199"/>
    </row>
    <row r="93" spans="1:20">
      <c r="B93" s="180" t="s">
        <v>104</v>
      </c>
      <c r="H93" s="193">
        <f ca="1">H91*H92</f>
        <v>1.6800000000000002</v>
      </c>
      <c r="I93" s="193">
        <f t="shared" ref="I93:R93" ca="1" si="22">I91*I92</f>
        <v>1.7304000000000002</v>
      </c>
      <c r="J93" s="193">
        <f t="shared" ca="1" si="22"/>
        <v>1.7823119999999999</v>
      </c>
      <c r="K93" s="193">
        <f t="shared" ca="1" si="22"/>
        <v>1.8357813600000001</v>
      </c>
      <c r="L93" s="193">
        <f t="shared" ca="1" si="22"/>
        <v>1.8908548007999999</v>
      </c>
      <c r="M93" s="193">
        <f t="shared" ca="1" si="22"/>
        <v>1.9475804448239999</v>
      </c>
      <c r="N93" s="193">
        <f t="shared" ca="1" si="22"/>
        <v>2.00600785816872</v>
      </c>
      <c r="O93" s="193">
        <f t="shared" ca="1" si="22"/>
        <v>2.0661880939137816</v>
      </c>
      <c r="P93" s="193">
        <f t="shared" ca="1" si="22"/>
        <v>2.1281737367311946</v>
      </c>
      <c r="Q93" s="193">
        <f t="shared" ca="1" si="22"/>
        <v>2.1920189488331308</v>
      </c>
      <c r="R93" s="193">
        <f t="shared" ca="1" si="22"/>
        <v>2.257779517298125</v>
      </c>
      <c r="S93" s="193"/>
      <c r="T93" s="193"/>
    </row>
    <row r="95" spans="1:20">
      <c r="A95" s="215"/>
      <c r="B95" s="215"/>
      <c r="C95" s="215"/>
      <c r="D95" s="215"/>
      <c r="E95" s="215"/>
      <c r="F95" s="215"/>
      <c r="G95" s="215"/>
      <c r="H95" s="215"/>
      <c r="I95" s="215"/>
      <c r="J95" s="215"/>
      <c r="K95" s="215"/>
      <c r="L95" s="5"/>
      <c r="M95" s="5"/>
      <c r="N95" s="5"/>
      <c r="O95" s="5"/>
      <c r="P95" s="7"/>
      <c r="Q95" s="5"/>
      <c r="R95" s="5"/>
      <c r="S95" s="5"/>
      <c r="T95" s="5"/>
    </row>
    <row r="96" spans="1:20">
      <c r="A96" s="215"/>
      <c r="B96" s="215"/>
      <c r="C96" s="215"/>
      <c r="D96" s="215"/>
      <c r="E96" s="215"/>
      <c r="F96" s="215"/>
      <c r="G96" s="215"/>
      <c r="H96" s="215"/>
      <c r="I96" s="215"/>
      <c r="J96" s="215"/>
      <c r="K96" s="215"/>
    </row>
    <row r="97" spans="1:11">
      <c r="A97" s="215"/>
      <c r="B97" s="215"/>
      <c r="C97" s="215"/>
      <c r="D97" s="215"/>
      <c r="E97" s="215"/>
      <c r="F97" s="215"/>
      <c r="G97" s="215"/>
      <c r="H97" s="215"/>
      <c r="I97" s="215"/>
      <c r="J97" s="215"/>
      <c r="K97" s="215"/>
    </row>
    <row r="98" spans="1:11">
      <c r="A98" s="215"/>
      <c r="B98" s="215"/>
      <c r="C98" s="215"/>
      <c r="D98" s="215"/>
      <c r="E98" s="215"/>
      <c r="F98" s="215"/>
      <c r="G98" s="215"/>
      <c r="H98" s="215"/>
      <c r="I98" s="215"/>
      <c r="J98" s="215"/>
      <c r="K98" s="215"/>
    </row>
    <row r="99" spans="1:11">
      <c r="A99" s="215"/>
      <c r="B99" s="215"/>
      <c r="C99" s="215"/>
      <c r="D99" s="215"/>
      <c r="E99" s="215"/>
      <c r="F99" s="215"/>
      <c r="G99" s="215"/>
      <c r="H99" s="215"/>
      <c r="I99" s="215"/>
      <c r="J99" s="215"/>
      <c r="K99" s="215"/>
    </row>
    <row r="100" spans="1:11">
      <c r="A100" s="215"/>
      <c r="B100" s="215"/>
      <c r="C100" s="215"/>
      <c r="D100" s="215"/>
      <c r="E100" s="215"/>
      <c r="F100" s="215"/>
      <c r="G100" s="215"/>
      <c r="H100" s="215"/>
      <c r="I100" s="215"/>
      <c r="J100" s="215"/>
      <c r="K100" s="215"/>
    </row>
    <row r="101" spans="1:11">
      <c r="A101" s="215"/>
      <c r="B101" s="215"/>
      <c r="C101" s="215"/>
      <c r="D101" s="215"/>
      <c r="E101" s="215"/>
      <c r="F101" s="215"/>
      <c r="G101" s="215"/>
      <c r="H101" s="215"/>
      <c r="I101" s="215"/>
      <c r="J101" s="215"/>
      <c r="K101" s="215"/>
    </row>
    <row r="102" spans="1:11">
      <c r="A102" s="215"/>
      <c r="B102" s="215"/>
      <c r="C102" s="215"/>
      <c r="D102" s="215"/>
      <c r="E102" s="215"/>
      <c r="F102" s="215"/>
      <c r="G102" s="215"/>
      <c r="H102" s="215"/>
      <c r="I102" s="215"/>
      <c r="J102" s="215"/>
      <c r="K102" s="215"/>
    </row>
    <row r="103" spans="1:11">
      <c r="A103" s="215"/>
      <c r="B103" s="215"/>
      <c r="C103" s="215"/>
      <c r="D103" s="215"/>
      <c r="E103" s="215"/>
      <c r="F103" s="215"/>
      <c r="G103" s="215"/>
      <c r="H103" s="215"/>
      <c r="I103" s="215"/>
      <c r="J103" s="215"/>
      <c r="K103" s="215"/>
    </row>
    <row r="104" spans="1:11">
      <c r="A104" s="215"/>
      <c r="B104" s="215"/>
      <c r="C104" s="215"/>
      <c r="D104" s="215"/>
      <c r="E104" s="215"/>
      <c r="F104" s="215"/>
      <c r="G104" s="215"/>
      <c r="H104" s="215"/>
      <c r="I104" s="215"/>
      <c r="J104" s="215"/>
      <c r="K104" s="215"/>
    </row>
    <row r="105" spans="1:11">
      <c r="A105" s="215"/>
      <c r="B105" s="215"/>
      <c r="C105" s="215"/>
      <c r="D105" s="215"/>
      <c r="E105" s="215"/>
      <c r="F105" s="215"/>
      <c r="G105" s="215"/>
      <c r="H105" s="215"/>
      <c r="I105" s="215"/>
      <c r="J105" s="215"/>
      <c r="K105" s="215"/>
    </row>
    <row r="106" spans="1:11">
      <c r="A106" s="215"/>
      <c r="B106" s="215"/>
      <c r="C106" s="215"/>
      <c r="D106" s="215"/>
      <c r="E106" s="215"/>
      <c r="F106" s="215"/>
      <c r="G106" s="215"/>
      <c r="H106" s="215"/>
      <c r="I106" s="215"/>
      <c r="J106" s="215"/>
      <c r="K106" s="215"/>
    </row>
    <row r="107" spans="1:11">
      <c r="A107" s="215"/>
      <c r="B107" s="215"/>
      <c r="C107" s="215"/>
      <c r="D107" s="215"/>
      <c r="E107" s="215"/>
      <c r="F107" s="215"/>
      <c r="G107" s="215"/>
      <c r="H107" s="215"/>
      <c r="I107" s="215"/>
      <c r="J107" s="215"/>
      <c r="K107" s="215"/>
    </row>
  </sheetData>
  <pageMargins left="0.7" right="0.7" top="0.75" bottom="0.75" header="0.3" footer="0.3"/>
  <pageSetup scale="46" orientation="portrait" r:id="rId1"/>
  <headerFooter>
    <oddHeader xml:space="preserve">&amp;L2019 ULI Hines Student Competition&amp;R2019-331 &amp;A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97BEB-75B7-4149-87B5-6297F560820A}">
  <sheetPr>
    <tabColor theme="9"/>
  </sheetPr>
  <dimension ref="A3:AK107"/>
  <sheetViews>
    <sheetView showGridLines="0" view="pageBreakPreview" zoomScale="85" zoomScaleNormal="100" zoomScaleSheetLayoutView="85" workbookViewId="0"/>
  </sheetViews>
  <sheetFormatPr baseColWidth="10" defaultColWidth="8.83203125" defaultRowHeight="15"/>
  <cols>
    <col min="1" max="1" width="3.5" style="3" customWidth="1"/>
    <col min="2" max="2" width="1.6640625" style="3" customWidth="1"/>
    <col min="3" max="3" width="2.83203125" style="3" customWidth="1"/>
    <col min="4" max="4" width="1.6640625" style="3" customWidth="1"/>
    <col min="5" max="5" width="14.6640625" style="3" customWidth="1"/>
    <col min="6" max="6" width="8.83203125" style="3" customWidth="1"/>
    <col min="7" max="7" width="16.33203125" style="3" customWidth="1"/>
    <col min="8" max="8" width="12.5" style="3" bestFit="1" customWidth="1"/>
    <col min="9" max="9" width="11.5" style="3" bestFit="1" customWidth="1"/>
    <col min="10" max="10" width="13.6640625" style="3" bestFit="1" customWidth="1"/>
    <col min="11" max="12" width="12.5" style="3" bestFit="1" customWidth="1"/>
    <col min="13" max="14" width="11.83203125" style="3" bestFit="1" customWidth="1"/>
    <col min="15" max="15" width="12.1640625" style="3" bestFit="1" customWidth="1"/>
    <col min="16" max="16" width="13" style="174" customWidth="1"/>
    <col min="17" max="17" width="12.83203125" style="3" bestFit="1" customWidth="1"/>
    <col min="18" max="18" width="13.1640625" style="3" bestFit="1" customWidth="1"/>
    <col min="19" max="21" width="8.83203125" style="3"/>
    <col min="22" max="22" width="14.1640625" style="3" bestFit="1" customWidth="1"/>
    <col min="23" max="16384" width="8.83203125" style="3"/>
  </cols>
  <sheetData>
    <row r="3" spans="2:18">
      <c r="C3" s="45"/>
      <c r="D3" s="181" t="s">
        <v>41</v>
      </c>
      <c r="E3" s="181"/>
      <c r="F3" s="182" t="s">
        <v>425</v>
      </c>
      <c r="G3" s="182" t="s">
        <v>310</v>
      </c>
    </row>
    <row r="4" spans="2:18">
      <c r="C4" s="174"/>
      <c r="D4" s="185" t="s">
        <v>186</v>
      </c>
      <c r="E4" s="185"/>
      <c r="F4" s="186"/>
      <c r="G4" s="186">
        <f>Assumptions!U18</f>
        <v>0</v>
      </c>
    </row>
    <row r="5" spans="2:18">
      <c r="C5" s="174"/>
      <c r="D5" s="185" t="s">
        <v>422</v>
      </c>
      <c r="E5" s="185"/>
      <c r="F5" s="186">
        <f>Assumptions!E67</f>
        <v>186.99816563798404</v>
      </c>
      <c r="G5" s="186">
        <f ca="1">F5*$G$17</f>
        <v>34897971.667691857</v>
      </c>
    </row>
    <row r="6" spans="2:18">
      <c r="C6" s="174"/>
      <c r="D6" s="185" t="s">
        <v>423</v>
      </c>
      <c r="E6" s="185"/>
      <c r="F6" s="186">
        <f>Assumptions!G67</f>
        <v>28.049724845697607</v>
      </c>
      <c r="G6" s="186">
        <f ca="1">F6*$G$17</f>
        <v>5234695.7501537791</v>
      </c>
    </row>
    <row r="7" spans="2:18">
      <c r="C7" s="174"/>
      <c r="D7" s="185" t="s">
        <v>187</v>
      </c>
      <c r="E7" s="185"/>
      <c r="F7" s="186"/>
      <c r="G7" s="186">
        <f ca="1">Assumptions!V18</f>
        <v>1173656.0179133927</v>
      </c>
    </row>
    <row r="8" spans="2:18">
      <c r="C8" s="174"/>
      <c r="D8" s="185" t="s">
        <v>424</v>
      </c>
      <c r="E8" s="185"/>
      <c r="F8" s="186">
        <f>Assumptions!E71</f>
        <v>12000</v>
      </c>
      <c r="G8" s="186">
        <f ca="1">F8*Assumptions!T18</f>
        <v>925422.22222222236</v>
      </c>
    </row>
    <row r="9" spans="2:18">
      <c r="C9" s="174"/>
      <c r="D9" s="185" t="s">
        <v>121</v>
      </c>
      <c r="E9" s="185"/>
      <c r="F9" s="188"/>
      <c r="G9" s="186">
        <f ca="1">-G64</f>
        <v>2799330</v>
      </c>
    </row>
    <row r="10" spans="2:18">
      <c r="C10" s="174"/>
      <c r="D10" s="185" t="s">
        <v>123</v>
      </c>
      <c r="E10" s="185"/>
      <c r="F10" s="187"/>
      <c r="G10" s="186">
        <f ca="1">-G63</f>
        <v>2496819.8886972265</v>
      </c>
    </row>
    <row r="11" spans="2:18">
      <c r="C11" s="174"/>
      <c r="D11" s="185"/>
      <c r="E11" s="185"/>
      <c r="F11" s="187"/>
      <c r="G11" s="186"/>
    </row>
    <row r="12" spans="2:18">
      <c r="C12" s="174"/>
      <c r="D12" s="304" t="s">
        <v>426</v>
      </c>
      <c r="E12" s="304"/>
      <c r="F12" s="305">
        <f ca="1">G12/G17</f>
        <v>254.67466615232118</v>
      </c>
      <c r="G12" s="305">
        <f ca="1">G4+G5+G6+G7+G8+G9+G10</f>
        <v>47527895.546678483</v>
      </c>
    </row>
    <row r="13" spans="2:18">
      <c r="B13" s="1"/>
    </row>
    <row r="14" spans="2:18" ht="16">
      <c r="B14" s="2" t="s">
        <v>147</v>
      </c>
    </row>
    <row r="16" spans="2:18">
      <c r="B16" s="426" t="s">
        <v>2</v>
      </c>
      <c r="C16" s="426"/>
      <c r="D16" s="426"/>
      <c r="E16" s="426"/>
      <c r="F16" s="426"/>
      <c r="G16" s="426"/>
      <c r="H16" s="426"/>
      <c r="I16" s="6"/>
      <c r="J16" s="5" t="s">
        <v>103</v>
      </c>
      <c r="K16" s="5"/>
      <c r="L16" s="5"/>
      <c r="M16" s="5"/>
      <c r="N16" s="7" t="s">
        <v>104</v>
      </c>
      <c r="P16" s="426" t="s">
        <v>41</v>
      </c>
      <c r="Q16" s="426"/>
      <c r="R16" s="426"/>
    </row>
    <row r="17" spans="2:19">
      <c r="B17" s="3" t="s">
        <v>14</v>
      </c>
      <c r="G17" s="396">
        <f ca="1">Assumptions!P18</f>
        <v>186622</v>
      </c>
      <c r="J17" s="3" t="s">
        <v>47</v>
      </c>
      <c r="M17" s="8">
        <f ca="1">G17*G23</f>
        <v>7838124</v>
      </c>
      <c r="N17" s="9">
        <f ca="1">M17/G17</f>
        <v>42</v>
      </c>
      <c r="P17" s="3" t="s">
        <v>105</v>
      </c>
      <c r="R17" s="398">
        <f ca="1">G12</f>
        <v>47527895.546678483</v>
      </c>
    </row>
    <row r="18" spans="2:19">
      <c r="B18" s="3" t="s">
        <v>148</v>
      </c>
      <c r="G18" s="43">
        <v>5000</v>
      </c>
      <c r="J18" s="3" t="s">
        <v>60</v>
      </c>
      <c r="M18" s="8">
        <f ca="1">-M17*G26</f>
        <v>-783812.4</v>
      </c>
      <c r="N18" s="174"/>
      <c r="P18" s="10" t="s">
        <v>44</v>
      </c>
      <c r="Q18" s="21">
        <v>0.01</v>
      </c>
      <c r="R18" s="8">
        <f ca="1">R17*Q18</f>
        <v>475278.95546678483</v>
      </c>
    </row>
    <row r="19" spans="2:19">
      <c r="B19" s="3" t="s">
        <v>149</v>
      </c>
      <c r="G19" s="42">
        <f ca="1">G17/G18</f>
        <v>37.324399999999997</v>
      </c>
      <c r="J19" s="12" t="s">
        <v>61</v>
      </c>
      <c r="K19" s="12"/>
      <c r="L19" s="12"/>
      <c r="M19" s="13">
        <f ca="1">M17+M18</f>
        <v>7054311.5999999996</v>
      </c>
      <c r="N19" s="14"/>
      <c r="P19" s="15" t="s">
        <v>45</v>
      </c>
      <c r="Q19" s="12"/>
      <c r="R19" s="13">
        <f ca="1">SUM(R17:R18)</f>
        <v>48003174.502145268</v>
      </c>
    </row>
    <row r="20" spans="2:19">
      <c r="N20" s="174"/>
      <c r="S20" s="11"/>
    </row>
    <row r="21" spans="2:19">
      <c r="B21" s="5" t="s">
        <v>106</v>
      </c>
      <c r="C21" s="5"/>
      <c r="D21" s="5"/>
      <c r="E21" s="5"/>
      <c r="F21" s="5"/>
      <c r="G21" s="5"/>
      <c r="H21" s="5"/>
      <c r="I21" s="6"/>
      <c r="J21" s="18" t="s">
        <v>111</v>
      </c>
      <c r="N21" s="174"/>
      <c r="P21" s="5" t="s">
        <v>32</v>
      </c>
      <c r="Q21" s="5"/>
      <c r="R21" s="5"/>
      <c r="S21" s="16"/>
    </row>
    <row r="22" spans="2:19">
      <c r="B22" s="3" t="s">
        <v>107</v>
      </c>
      <c r="G22" s="17">
        <v>15</v>
      </c>
      <c r="H22" s="3" t="s">
        <v>108</v>
      </c>
      <c r="J22" s="3" t="s">
        <v>114</v>
      </c>
      <c r="M22" s="8">
        <f ca="1">N22*$G$17</f>
        <v>279933</v>
      </c>
      <c r="N22" s="20">
        <v>1.5</v>
      </c>
      <c r="P22" s="10" t="s">
        <v>7</v>
      </c>
      <c r="R22" s="8">
        <f ca="1">G39</f>
        <v>31202063.426394425</v>
      </c>
    </row>
    <row r="23" spans="2:19">
      <c r="B23" s="3" t="s">
        <v>109</v>
      </c>
      <c r="G23" s="17">
        <f>ROUNDUP(Assumptions!Q71,0)</f>
        <v>42</v>
      </c>
      <c r="H23" s="3" t="s">
        <v>110</v>
      </c>
      <c r="J23" s="3" t="s">
        <v>116</v>
      </c>
      <c r="M23" s="8">
        <f ca="1">N23*$G$17</f>
        <v>279933</v>
      </c>
      <c r="N23" s="20">
        <v>1.5</v>
      </c>
      <c r="P23" s="10" t="s">
        <v>34</v>
      </c>
      <c r="R23" s="8">
        <f ca="1">R24-R22</f>
        <v>16801111.075750843</v>
      </c>
    </row>
    <row r="24" spans="2:19">
      <c r="B24" s="3" t="s">
        <v>112</v>
      </c>
      <c r="G24" s="19">
        <v>0.03</v>
      </c>
      <c r="H24" s="3" t="s">
        <v>113</v>
      </c>
      <c r="J24" s="3" t="s">
        <v>119</v>
      </c>
      <c r="M24" s="8">
        <f ca="1">N24*$G$17</f>
        <v>373244</v>
      </c>
      <c r="N24" s="20">
        <v>2</v>
      </c>
      <c r="P24" s="15" t="s">
        <v>120</v>
      </c>
      <c r="Q24" s="12"/>
      <c r="R24" s="13">
        <f ca="1">R19</f>
        <v>48003174.502145268</v>
      </c>
    </row>
    <row r="25" spans="2:19">
      <c r="B25" s="3" t="s">
        <v>115</v>
      </c>
      <c r="G25" s="19">
        <v>0.02</v>
      </c>
      <c r="J25" s="3" t="s">
        <v>31</v>
      </c>
      <c r="L25" s="274">
        <v>0.32</v>
      </c>
      <c r="M25" s="8">
        <f ca="1">G12*L25*N25</f>
        <v>266597.27393207268</v>
      </c>
      <c r="N25" s="397">
        <f>1.7529/100</f>
        <v>1.7528999999999999E-2</v>
      </c>
    </row>
    <row r="26" spans="2:19">
      <c r="B26" s="3" t="s">
        <v>117</v>
      </c>
      <c r="G26" s="19">
        <v>0.1</v>
      </c>
      <c r="H26" s="3" t="s">
        <v>118</v>
      </c>
      <c r="J26" s="3" t="s">
        <v>150</v>
      </c>
      <c r="M26" s="8">
        <f ca="1">N26*$M$17</f>
        <v>235143.72</v>
      </c>
      <c r="N26" s="21">
        <v>0.03</v>
      </c>
      <c r="P26" s="3" t="s">
        <v>124</v>
      </c>
      <c r="R26" s="220">
        <v>7.4999999999999997E-2</v>
      </c>
    </row>
    <row r="27" spans="2:19">
      <c r="B27" s="3" t="s">
        <v>121</v>
      </c>
      <c r="G27" s="17">
        <v>15</v>
      </c>
      <c r="H27" s="3" t="s">
        <v>122</v>
      </c>
      <c r="J27" s="12" t="s">
        <v>126</v>
      </c>
      <c r="K27" s="12"/>
      <c r="L27" s="12"/>
      <c r="M27" s="13">
        <f ca="1">SUM(M22:M26)</f>
        <v>1434850.9939320728</v>
      </c>
      <c r="N27" s="23">
        <v>4</v>
      </c>
      <c r="P27" s="3"/>
    </row>
    <row r="28" spans="2:19">
      <c r="B28" s="3" t="s">
        <v>123</v>
      </c>
      <c r="G28" s="19">
        <v>0.06</v>
      </c>
      <c r="N28" s="174"/>
      <c r="P28" s="3"/>
    </row>
    <row r="29" spans="2:19">
      <c r="B29" s="3" t="s">
        <v>125</v>
      </c>
      <c r="G29" s="22">
        <v>6.25E-2</v>
      </c>
      <c r="J29" s="3" t="s">
        <v>130</v>
      </c>
      <c r="M29" s="8">
        <f ca="1">M19-M27</f>
        <v>5619460.6060679266</v>
      </c>
      <c r="N29" s="174"/>
    </row>
    <row r="30" spans="2:19">
      <c r="B30" s="3" t="s">
        <v>127</v>
      </c>
      <c r="G30" s="22">
        <v>0.06</v>
      </c>
    </row>
    <row r="31" spans="2:19">
      <c r="B31" s="3" t="s">
        <v>128</v>
      </c>
      <c r="G31" s="24">
        <v>0</v>
      </c>
      <c r="H31" s="3" t="s">
        <v>129</v>
      </c>
      <c r="N31" s="174"/>
    </row>
    <row r="32" spans="2:19">
      <c r="B32" s="3" t="s">
        <v>131</v>
      </c>
      <c r="G32" s="25">
        <v>8</v>
      </c>
      <c r="H32" s="3" t="s">
        <v>108</v>
      </c>
      <c r="M32" s="8"/>
      <c r="N32" s="174"/>
    </row>
    <row r="33" spans="2:37">
      <c r="B33" s="3" t="s">
        <v>66</v>
      </c>
      <c r="G33" s="19">
        <v>0</v>
      </c>
      <c r="J33" s="26"/>
      <c r="M33" s="8"/>
      <c r="N33" s="174"/>
    </row>
    <row r="34" spans="2:37">
      <c r="J34" s="26"/>
      <c r="N34" s="174"/>
    </row>
    <row r="35" spans="2:37">
      <c r="B35" s="5" t="s">
        <v>132</v>
      </c>
      <c r="C35" s="5"/>
      <c r="D35" s="5"/>
      <c r="E35" s="5"/>
      <c r="F35" s="5"/>
      <c r="G35" s="5"/>
      <c r="H35" s="5"/>
      <c r="I35" s="6"/>
      <c r="N35" s="174"/>
    </row>
    <row r="36" spans="2:37">
      <c r="B36" s="3" t="s">
        <v>133</v>
      </c>
      <c r="G36" s="19">
        <v>0.65</v>
      </c>
      <c r="H36" s="3" t="s">
        <v>134</v>
      </c>
      <c r="J36" s="16"/>
      <c r="N36" s="174"/>
    </row>
    <row r="37" spans="2:37">
      <c r="B37" s="3" t="s">
        <v>10</v>
      </c>
      <c r="G37" s="19">
        <v>0.05</v>
      </c>
      <c r="J37" s="16"/>
    </row>
    <row r="38" spans="2:37">
      <c r="B38" s="3" t="s">
        <v>81</v>
      </c>
      <c r="G38" s="50">
        <v>30</v>
      </c>
      <c r="H38" s="3" t="s">
        <v>135</v>
      </c>
    </row>
    <row r="39" spans="2:37">
      <c r="B39" s="3" t="s">
        <v>136</v>
      </c>
      <c r="G39" s="8">
        <f ca="1">G36*R19</f>
        <v>31202063.426394425</v>
      </c>
    </row>
    <row r="40" spans="2:37">
      <c r="B40" s="3" t="s">
        <v>137</v>
      </c>
      <c r="G40" s="8">
        <f ca="1">PMT(G37/12,G38*12,G39)</f>
        <v>-167499.4232988476</v>
      </c>
    </row>
    <row r="42" spans="2:37">
      <c r="B42" s="5" t="s">
        <v>51</v>
      </c>
      <c r="C42" s="5"/>
      <c r="D42" s="5"/>
      <c r="E42" s="5"/>
      <c r="F42" s="5"/>
      <c r="G42" s="27">
        <v>0</v>
      </c>
      <c r="H42" s="27">
        <f>G42+1</f>
        <v>1</v>
      </c>
      <c r="I42" s="27">
        <f t="shared" ref="I42:R42" si="0">H42+1</f>
        <v>2</v>
      </c>
      <c r="J42" s="27">
        <f t="shared" si="0"/>
        <v>3</v>
      </c>
      <c r="K42" s="27">
        <f t="shared" si="0"/>
        <v>4</v>
      </c>
      <c r="L42" s="27">
        <f t="shared" si="0"/>
        <v>5</v>
      </c>
      <c r="M42" s="27">
        <f t="shared" si="0"/>
        <v>6</v>
      </c>
      <c r="N42" s="27">
        <f t="shared" si="0"/>
        <v>7</v>
      </c>
      <c r="O42" s="27">
        <f t="shared" si="0"/>
        <v>8</v>
      </c>
      <c r="P42" s="27">
        <f t="shared" si="0"/>
        <v>9</v>
      </c>
      <c r="Q42" s="27">
        <f t="shared" si="0"/>
        <v>10</v>
      </c>
      <c r="R42" s="27">
        <f t="shared" si="0"/>
        <v>11</v>
      </c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</row>
    <row r="43" spans="2:37">
      <c r="B43" s="3" t="s">
        <v>52</v>
      </c>
      <c r="H43" s="28">
        <f t="shared" ref="H43:R43" si="1">1-$G$26</f>
        <v>0.9</v>
      </c>
      <c r="I43" s="28">
        <f t="shared" si="1"/>
        <v>0.9</v>
      </c>
      <c r="J43" s="28">
        <f t="shared" si="1"/>
        <v>0.9</v>
      </c>
      <c r="K43" s="28">
        <f t="shared" si="1"/>
        <v>0.9</v>
      </c>
      <c r="L43" s="28">
        <f t="shared" si="1"/>
        <v>0.9</v>
      </c>
      <c r="M43" s="28">
        <f t="shared" si="1"/>
        <v>0.9</v>
      </c>
      <c r="N43" s="28">
        <f t="shared" si="1"/>
        <v>0.9</v>
      </c>
      <c r="O43" s="28">
        <f t="shared" si="1"/>
        <v>0.9</v>
      </c>
      <c r="P43" s="28">
        <f t="shared" si="1"/>
        <v>0.9</v>
      </c>
      <c r="Q43" s="28">
        <f t="shared" si="1"/>
        <v>0.9</v>
      </c>
      <c r="R43" s="28">
        <f t="shared" si="1"/>
        <v>0.9</v>
      </c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</row>
    <row r="45" spans="2:37">
      <c r="B45" s="3" t="s">
        <v>138</v>
      </c>
      <c r="G45" s="8">
        <f ca="1">-R19+G9+G10</f>
        <v>-42707024.613448039</v>
      </c>
    </row>
    <row r="46" spans="2:37">
      <c r="I46" s="29"/>
    </row>
    <row r="47" spans="2:37">
      <c r="B47" s="3" t="s">
        <v>47</v>
      </c>
      <c r="H47" s="8">
        <f t="shared" ref="H47:R47" ca="1" si="2">$M$17*(1+$G$24)^G42</f>
        <v>7838124</v>
      </c>
      <c r="I47" s="8">
        <f t="shared" ca="1" si="2"/>
        <v>8073267.7200000007</v>
      </c>
      <c r="J47" s="8">
        <f t="shared" ca="1" si="2"/>
        <v>8315465.7516000001</v>
      </c>
      <c r="K47" s="8">
        <f t="shared" ca="1" si="2"/>
        <v>8564929.7241479997</v>
      </c>
      <c r="L47" s="8">
        <f t="shared" ca="1" si="2"/>
        <v>8821877.615872439</v>
      </c>
      <c r="M47" s="8">
        <f t="shared" ca="1" si="2"/>
        <v>9086533.9443486128</v>
      </c>
      <c r="N47" s="8">
        <f t="shared" ca="1" si="2"/>
        <v>9359129.9626790714</v>
      </c>
      <c r="O47" s="8">
        <f t="shared" ca="1" si="2"/>
        <v>9639903.8615594432</v>
      </c>
      <c r="P47" s="8">
        <f t="shared" ca="1" si="2"/>
        <v>9929100.9774062261</v>
      </c>
      <c r="Q47" s="8">
        <f t="shared" ca="1" si="2"/>
        <v>10226974.006728413</v>
      </c>
      <c r="R47" s="8">
        <f t="shared" ca="1" si="2"/>
        <v>10533783.226930264</v>
      </c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2:37">
      <c r="C48" s="3" t="s">
        <v>60</v>
      </c>
      <c r="H48" s="8">
        <f ca="1">-(1-H43)*H47</f>
        <v>-783812.39999999979</v>
      </c>
      <c r="I48" s="8">
        <f t="shared" ref="I48:R48" ca="1" si="3">-(1-I43)*I47</f>
        <v>-807326.77199999988</v>
      </c>
      <c r="J48" s="8">
        <f t="shared" ca="1" si="3"/>
        <v>-831546.57515999977</v>
      </c>
      <c r="K48" s="8">
        <f t="shared" ca="1" si="3"/>
        <v>-856492.97241479973</v>
      </c>
      <c r="L48" s="8">
        <f t="shared" ca="1" si="3"/>
        <v>-882187.76158724376</v>
      </c>
      <c r="M48" s="8">
        <f t="shared" ca="1" si="3"/>
        <v>-908653.39443486102</v>
      </c>
      <c r="N48" s="8">
        <f t="shared" ca="1" si="3"/>
        <v>-935912.99626790697</v>
      </c>
      <c r="O48" s="8">
        <f t="shared" ca="1" si="3"/>
        <v>-963990.38615594408</v>
      </c>
      <c r="P48" s="8">
        <f t="shared" ca="1" si="3"/>
        <v>-992910.09774062235</v>
      </c>
      <c r="Q48" s="8">
        <f t="shared" ca="1" si="3"/>
        <v>-1022697.400672841</v>
      </c>
      <c r="R48" s="8">
        <f t="shared" ca="1" si="3"/>
        <v>-1053378.3226930262</v>
      </c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2:37">
      <c r="C49" s="3" t="s">
        <v>128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2:37">
      <c r="B50" s="12" t="s">
        <v>61</v>
      </c>
      <c r="C50" s="12"/>
      <c r="D50" s="12"/>
      <c r="E50" s="12"/>
      <c r="F50" s="12"/>
      <c r="G50" s="12"/>
      <c r="H50" s="13">
        <f ca="1">SUM(H47:H49)</f>
        <v>7054311.6000000006</v>
      </c>
      <c r="I50" s="13">
        <f t="shared" ref="I50:R50" ca="1" si="4">SUM(I47:I49)</f>
        <v>7265940.9480000008</v>
      </c>
      <c r="J50" s="13">
        <f t="shared" ca="1" si="4"/>
        <v>7483919.1764400005</v>
      </c>
      <c r="K50" s="13">
        <f t="shared" ca="1" si="4"/>
        <v>7708436.7517331997</v>
      </c>
      <c r="L50" s="13">
        <f t="shared" ca="1" si="4"/>
        <v>7939689.8542851955</v>
      </c>
      <c r="M50" s="13">
        <f t="shared" ca="1" si="4"/>
        <v>8177880.5499137519</v>
      </c>
      <c r="N50" s="13">
        <f t="shared" ca="1" si="4"/>
        <v>8423216.966411164</v>
      </c>
      <c r="O50" s="13">
        <f t="shared" ca="1" si="4"/>
        <v>8675913.4754034989</v>
      </c>
      <c r="P50" s="13">
        <f t="shared" ca="1" si="4"/>
        <v>8936190.8796656039</v>
      </c>
      <c r="Q50" s="13">
        <f t="shared" ca="1" si="4"/>
        <v>9204276.6060555708</v>
      </c>
      <c r="R50" s="13">
        <f t="shared" ca="1" si="4"/>
        <v>9480404.9042372387</v>
      </c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</row>
    <row r="52" spans="2:37">
      <c r="B52" s="3" t="s">
        <v>62</v>
      </c>
    </row>
    <row r="53" spans="2:37">
      <c r="C53" s="3" t="str">
        <f>J22</f>
        <v>Repairs and Maintenance</v>
      </c>
      <c r="H53" s="8">
        <f t="shared" ref="H53:R56" ca="1" si="5">$M22*(1+$G$25)^G$42</f>
        <v>279933</v>
      </c>
      <c r="I53" s="8">
        <f t="shared" ca="1" si="5"/>
        <v>285531.66000000003</v>
      </c>
      <c r="J53" s="8">
        <f t="shared" ca="1" si="5"/>
        <v>291242.29320000001</v>
      </c>
      <c r="K53" s="8">
        <f t="shared" ca="1" si="5"/>
        <v>297067.13906399999</v>
      </c>
      <c r="L53" s="8">
        <f t="shared" ca="1" si="5"/>
        <v>303008.48184527998</v>
      </c>
      <c r="M53" s="8">
        <f t="shared" ca="1" si="5"/>
        <v>309068.65148218558</v>
      </c>
      <c r="N53" s="8">
        <f t="shared" ca="1" si="5"/>
        <v>315250.02451182931</v>
      </c>
      <c r="O53" s="8">
        <f t="shared" ca="1" si="5"/>
        <v>321555.02500206587</v>
      </c>
      <c r="P53" s="8">
        <f t="shared" ca="1" si="5"/>
        <v>327986.1255021072</v>
      </c>
      <c r="Q53" s="8">
        <f t="shared" ca="1" si="5"/>
        <v>334545.84801214933</v>
      </c>
      <c r="R53" s="8">
        <f t="shared" ca="1" si="5"/>
        <v>341236.76497239235</v>
      </c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2:37">
      <c r="C54" s="3" t="str">
        <f>J23</f>
        <v>Administrative</v>
      </c>
      <c r="H54" s="8">
        <f t="shared" ca="1" si="5"/>
        <v>279933</v>
      </c>
      <c r="I54" s="8">
        <f t="shared" ca="1" si="5"/>
        <v>285531.66000000003</v>
      </c>
      <c r="J54" s="8">
        <f t="shared" ca="1" si="5"/>
        <v>291242.29320000001</v>
      </c>
      <c r="K54" s="8">
        <f t="shared" ca="1" si="5"/>
        <v>297067.13906399999</v>
      </c>
      <c r="L54" s="8">
        <f t="shared" ca="1" si="5"/>
        <v>303008.48184527998</v>
      </c>
      <c r="M54" s="8">
        <f t="shared" ca="1" si="5"/>
        <v>309068.65148218558</v>
      </c>
      <c r="N54" s="8">
        <f t="shared" ca="1" si="5"/>
        <v>315250.02451182931</v>
      </c>
      <c r="O54" s="8">
        <f t="shared" ca="1" si="5"/>
        <v>321555.02500206587</v>
      </c>
      <c r="P54" s="8">
        <f t="shared" ca="1" si="5"/>
        <v>327986.1255021072</v>
      </c>
      <c r="Q54" s="8">
        <f t="shared" ca="1" si="5"/>
        <v>334545.84801214933</v>
      </c>
      <c r="R54" s="8">
        <f t="shared" ca="1" si="5"/>
        <v>341236.76497239235</v>
      </c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2:37">
      <c r="C55" s="3" t="str">
        <f>J24</f>
        <v>Utilities</v>
      </c>
      <c r="H55" s="8">
        <f t="shared" ca="1" si="5"/>
        <v>373244</v>
      </c>
      <c r="I55" s="8">
        <f t="shared" ca="1" si="5"/>
        <v>380708.88</v>
      </c>
      <c r="J55" s="8">
        <f t="shared" ca="1" si="5"/>
        <v>388323.0576</v>
      </c>
      <c r="K55" s="8">
        <f t="shared" ca="1" si="5"/>
        <v>396089.51875199995</v>
      </c>
      <c r="L55" s="8">
        <f t="shared" ca="1" si="5"/>
        <v>404011.30912703997</v>
      </c>
      <c r="M55" s="8">
        <f t="shared" ca="1" si="5"/>
        <v>412091.5353095808</v>
      </c>
      <c r="N55" s="8">
        <f t="shared" ca="1" si="5"/>
        <v>420333.36601577245</v>
      </c>
      <c r="O55" s="8">
        <f t="shared" ca="1" si="5"/>
        <v>428740.03333608777</v>
      </c>
      <c r="P55" s="8">
        <f t="shared" ca="1" si="5"/>
        <v>437314.8340028096</v>
      </c>
      <c r="Q55" s="8">
        <f t="shared" ca="1" si="5"/>
        <v>446061.1306828658</v>
      </c>
      <c r="R55" s="8">
        <f t="shared" ca="1" si="5"/>
        <v>454982.3532965231</v>
      </c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2:37">
      <c r="C56" s="3" t="str">
        <f>J25</f>
        <v>Real Estate Taxes</v>
      </c>
      <c r="H56" s="8">
        <f t="shared" ca="1" si="5"/>
        <v>266597.27393207268</v>
      </c>
      <c r="I56" s="8">
        <f t="shared" ca="1" si="5"/>
        <v>271929.21941071417</v>
      </c>
      <c r="J56" s="8">
        <f t="shared" ca="1" si="5"/>
        <v>277367.80379892839</v>
      </c>
      <c r="K56" s="8">
        <f t="shared" ca="1" si="5"/>
        <v>282915.159874907</v>
      </c>
      <c r="L56" s="8">
        <f t="shared" ca="1" si="5"/>
        <v>288573.46307240514</v>
      </c>
      <c r="M56" s="8">
        <f t="shared" ca="1" si="5"/>
        <v>294344.93233385321</v>
      </c>
      <c r="N56" s="8">
        <f t="shared" ca="1" si="5"/>
        <v>300231.8309805303</v>
      </c>
      <c r="O56" s="8">
        <f t="shared" ca="1" si="5"/>
        <v>306236.46760014084</v>
      </c>
      <c r="P56" s="8">
        <f t="shared" ca="1" si="5"/>
        <v>312361.19695214368</v>
      </c>
      <c r="Q56" s="8">
        <f t="shared" ca="1" si="5"/>
        <v>318608.42089118657</v>
      </c>
      <c r="R56" s="8">
        <f t="shared" ca="1" si="5"/>
        <v>324980.58930901031</v>
      </c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2:37">
      <c r="C57" s="3" t="str">
        <f>J26</f>
        <v>Property Management Fee (% gross revenue)</v>
      </c>
      <c r="H57" s="8">
        <f t="shared" ref="H57:R57" ca="1" si="6">H47*$N$26</f>
        <v>235143.72</v>
      </c>
      <c r="I57" s="8">
        <f t="shared" ca="1" si="6"/>
        <v>242198.03160000002</v>
      </c>
      <c r="J57" s="8">
        <f t="shared" ca="1" si="6"/>
        <v>249463.97254799999</v>
      </c>
      <c r="K57" s="8">
        <f t="shared" ca="1" si="6"/>
        <v>256947.89172443998</v>
      </c>
      <c r="L57" s="8">
        <f t="shared" ca="1" si="6"/>
        <v>264656.32847617316</v>
      </c>
      <c r="M57" s="8">
        <f t="shared" ca="1" si="6"/>
        <v>272596.01833045838</v>
      </c>
      <c r="N57" s="8">
        <f t="shared" ca="1" si="6"/>
        <v>280773.89888037211</v>
      </c>
      <c r="O57" s="8">
        <f t="shared" ca="1" si="6"/>
        <v>289197.11584678327</v>
      </c>
      <c r="P57" s="8">
        <f t="shared" ca="1" si="6"/>
        <v>297873.02932218678</v>
      </c>
      <c r="Q57" s="8">
        <f t="shared" ca="1" si="6"/>
        <v>306809.22020185238</v>
      </c>
      <c r="R57" s="8">
        <f t="shared" ca="1" si="6"/>
        <v>316013.49680790794</v>
      </c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2:37">
      <c r="B58" s="12" t="s">
        <v>126</v>
      </c>
      <c r="C58" s="12"/>
      <c r="D58" s="12"/>
      <c r="E58" s="12"/>
      <c r="F58" s="12"/>
      <c r="G58" s="12"/>
      <c r="H58" s="13">
        <f t="shared" ref="H58:R58" ca="1" si="7">SUM(H53:H57)</f>
        <v>1434850.9939320728</v>
      </c>
      <c r="I58" s="13">
        <f t="shared" ca="1" si="7"/>
        <v>1465899.4510107143</v>
      </c>
      <c r="J58" s="13">
        <f t="shared" ca="1" si="7"/>
        <v>1497639.4203469285</v>
      </c>
      <c r="K58" s="13">
        <f t="shared" ca="1" si="7"/>
        <v>1530086.8484793471</v>
      </c>
      <c r="L58" s="13">
        <f t="shared" ca="1" si="7"/>
        <v>1563258.0643661781</v>
      </c>
      <c r="M58" s="13">
        <f t="shared" ca="1" si="7"/>
        <v>1597169.7889382637</v>
      </c>
      <c r="N58" s="13">
        <f t="shared" ca="1" si="7"/>
        <v>1631839.1449003334</v>
      </c>
      <c r="O58" s="13">
        <f t="shared" ca="1" si="7"/>
        <v>1667283.6667871438</v>
      </c>
      <c r="P58" s="13">
        <f t="shared" ca="1" si="7"/>
        <v>1703521.3112813544</v>
      </c>
      <c r="Q58" s="13">
        <f t="shared" ca="1" si="7"/>
        <v>1740570.4678002032</v>
      </c>
      <c r="R58" s="13">
        <f t="shared" ca="1" si="7"/>
        <v>1778449.9693582261</v>
      </c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</row>
    <row r="60" spans="2:37">
      <c r="B60" s="3" t="s">
        <v>64</v>
      </c>
      <c r="H60" s="8">
        <f t="shared" ref="H60:R60" ca="1" si="8">H50-H58</f>
        <v>5619460.6060679276</v>
      </c>
      <c r="I60" s="8">
        <f t="shared" ca="1" si="8"/>
        <v>5800041.4969892865</v>
      </c>
      <c r="J60" s="8">
        <f t="shared" ca="1" si="8"/>
        <v>5986279.7560930718</v>
      </c>
      <c r="K60" s="8">
        <f t="shared" ca="1" si="8"/>
        <v>6178349.9032538524</v>
      </c>
      <c r="L60" s="8">
        <f t="shared" ca="1" si="8"/>
        <v>6376431.7899190169</v>
      </c>
      <c r="M60" s="8">
        <f t="shared" ca="1" si="8"/>
        <v>6580710.7609754885</v>
      </c>
      <c r="N60" s="8">
        <f t="shared" ca="1" si="8"/>
        <v>6791377.8215108309</v>
      </c>
      <c r="O60" s="8">
        <f t="shared" ca="1" si="8"/>
        <v>7008629.8086163551</v>
      </c>
      <c r="P60" s="8">
        <f t="shared" ca="1" si="8"/>
        <v>7232669.5683842497</v>
      </c>
      <c r="Q60" s="8">
        <f t="shared" ca="1" si="8"/>
        <v>7463706.1382553671</v>
      </c>
      <c r="R60" s="8">
        <f t="shared" ca="1" si="8"/>
        <v>7701954.9348790124</v>
      </c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2" spans="2:37">
      <c r="B62" s="3" t="s">
        <v>139</v>
      </c>
    </row>
    <row r="63" spans="2:37">
      <c r="C63" s="3" t="s">
        <v>140</v>
      </c>
      <c r="G63" s="8">
        <f ca="1">-IF($G$32=10,SUM(H95:R95)*G17,SUM(H95:L95)*$G$17)</f>
        <v>-2496819.8886972265</v>
      </c>
    </row>
    <row r="64" spans="2:37">
      <c r="C64" s="3" t="s">
        <v>141</v>
      </c>
      <c r="G64" s="8">
        <f ca="1">-G27*G17</f>
        <v>-2799330</v>
      </c>
    </row>
    <row r="66" spans="2:37">
      <c r="B66" s="3" t="s">
        <v>142</v>
      </c>
      <c r="G66" s="8">
        <f ca="1">IF(G42&lt;=$G$32+1,G45+G60+SUM(G63:G64),0)</f>
        <v>-48003174.502145268</v>
      </c>
      <c r="H66" s="8">
        <f ca="1">IF(H42&lt;=$G$32+1,H45+H60+SUM(H63:H64),0)</f>
        <v>5619460.6060679276</v>
      </c>
      <c r="I66" s="8">
        <f t="shared" ref="I66:R66" ca="1" si="9">IF(I42&lt;=$G$32+1,I45+I60+SUM(I63:I64),0)</f>
        <v>5800041.4969892865</v>
      </c>
      <c r="J66" s="8">
        <f t="shared" ca="1" si="9"/>
        <v>5986279.7560930718</v>
      </c>
      <c r="K66" s="8">
        <f t="shared" ca="1" si="9"/>
        <v>6178349.9032538524</v>
      </c>
      <c r="L66" s="8">
        <f t="shared" ca="1" si="9"/>
        <v>6376431.7899190169</v>
      </c>
      <c r="M66" s="8">
        <f t="shared" ca="1" si="9"/>
        <v>6580710.7609754885</v>
      </c>
      <c r="N66" s="8">
        <f t="shared" ca="1" si="9"/>
        <v>6791377.8215108309</v>
      </c>
      <c r="O66" s="8">
        <f t="shared" ca="1" si="9"/>
        <v>7008629.8086163551</v>
      </c>
      <c r="P66" s="8">
        <f t="shared" ca="1" si="9"/>
        <v>7232669.5683842497</v>
      </c>
      <c r="Q66" s="8">
        <f t="shared" si="9"/>
        <v>0</v>
      </c>
      <c r="R66" s="8">
        <f t="shared" si="9"/>
        <v>0</v>
      </c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2:37"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2:37">
      <c r="B68" s="3" t="s">
        <v>65</v>
      </c>
      <c r="H68" s="8">
        <f t="shared" ref="H68:R68" si="10">IF(H42=$G$32,I66/$G$30,0)</f>
        <v>0</v>
      </c>
      <c r="I68" s="8">
        <f t="shared" si="10"/>
        <v>0</v>
      </c>
      <c r="J68" s="8">
        <f t="shared" si="10"/>
        <v>0</v>
      </c>
      <c r="K68" s="8">
        <f t="shared" si="10"/>
        <v>0</v>
      </c>
      <c r="L68" s="8">
        <f t="shared" si="10"/>
        <v>0</v>
      </c>
      <c r="M68" s="8">
        <f t="shared" si="10"/>
        <v>0</v>
      </c>
      <c r="N68" s="8">
        <f t="shared" si="10"/>
        <v>0</v>
      </c>
      <c r="O68" s="8">
        <f t="shared" ca="1" si="10"/>
        <v>120544492.80640417</v>
      </c>
      <c r="P68" s="8">
        <f t="shared" si="10"/>
        <v>0</v>
      </c>
      <c r="Q68" s="8">
        <f t="shared" si="10"/>
        <v>0</v>
      </c>
      <c r="R68" s="8">
        <f t="shared" si="10"/>
        <v>0</v>
      </c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2:37">
      <c r="B69" s="3" t="s">
        <v>66</v>
      </c>
      <c r="H69" s="8">
        <f>-H68*$G$33</f>
        <v>0</v>
      </c>
      <c r="I69" s="8">
        <f t="shared" ref="I69:R69" si="11">-I68*$G$33</f>
        <v>0</v>
      </c>
      <c r="J69" s="8">
        <f t="shared" si="11"/>
        <v>0</v>
      </c>
      <c r="K69" s="8">
        <f t="shared" si="11"/>
        <v>0</v>
      </c>
      <c r="L69" s="8">
        <f t="shared" si="11"/>
        <v>0</v>
      </c>
      <c r="M69" s="8">
        <f t="shared" si="11"/>
        <v>0</v>
      </c>
      <c r="N69" s="8">
        <f t="shared" si="11"/>
        <v>0</v>
      </c>
      <c r="O69" s="8">
        <f t="shared" ca="1" si="11"/>
        <v>0</v>
      </c>
      <c r="P69" s="8">
        <f t="shared" si="11"/>
        <v>0</v>
      </c>
      <c r="Q69" s="8">
        <f t="shared" si="11"/>
        <v>0</v>
      </c>
      <c r="R69" s="8">
        <f t="shared" si="11"/>
        <v>0</v>
      </c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2:37">
      <c r="B70" s="60" t="s">
        <v>67</v>
      </c>
      <c r="C70" s="60"/>
      <c r="D70" s="60"/>
      <c r="E70" s="60"/>
      <c r="F70" s="60"/>
      <c r="G70" s="61">
        <f ca="1">SUM(G66:G69)</f>
        <v>-48003174.502145268</v>
      </c>
      <c r="H70" s="61">
        <f t="shared" ref="H70:R70" ca="1" si="12">SUM(H66:H69)</f>
        <v>5619460.6060679276</v>
      </c>
      <c r="I70" s="61">
        <f t="shared" ca="1" si="12"/>
        <v>5800041.4969892865</v>
      </c>
      <c r="J70" s="61">
        <f t="shared" ca="1" si="12"/>
        <v>5986279.7560930718</v>
      </c>
      <c r="K70" s="61">
        <f t="shared" ca="1" si="12"/>
        <v>6178349.9032538524</v>
      </c>
      <c r="L70" s="61">
        <f t="shared" ca="1" si="12"/>
        <v>6376431.7899190169</v>
      </c>
      <c r="M70" s="61">
        <f t="shared" ca="1" si="12"/>
        <v>6580710.7609754885</v>
      </c>
      <c r="N70" s="61">
        <f t="shared" ca="1" si="12"/>
        <v>6791377.8215108309</v>
      </c>
      <c r="O70" s="61">
        <f t="shared" ca="1" si="12"/>
        <v>127553122.61502053</v>
      </c>
      <c r="P70" s="61">
        <f t="shared" ca="1" si="12"/>
        <v>7232669.5683842497</v>
      </c>
      <c r="Q70" s="61">
        <f t="shared" si="12"/>
        <v>0</v>
      </c>
      <c r="R70" s="61">
        <f t="shared" si="12"/>
        <v>0</v>
      </c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</row>
    <row r="71" spans="2:37" ht="16" thickBot="1"/>
    <row r="72" spans="2:37">
      <c r="B72" s="30" t="s">
        <v>68</v>
      </c>
      <c r="C72" s="31"/>
      <c r="D72" s="31"/>
      <c r="E72" s="31"/>
      <c r="F72" s="31"/>
      <c r="G72" s="32">
        <f ca="1">SUM(G70:R70)</f>
        <v>130115269.81606898</v>
      </c>
    </row>
    <row r="73" spans="2:37">
      <c r="B73" s="33" t="s">
        <v>69</v>
      </c>
      <c r="G73" s="34">
        <f ca="1">NPV($R$26,H70:R70)</f>
        <v>107782344.96536469</v>
      </c>
    </row>
    <row r="74" spans="2:37">
      <c r="B74" s="33" t="s">
        <v>70</v>
      </c>
      <c r="G74" s="34">
        <f ca="1">G73+G70</f>
        <v>59779170.463219427</v>
      </c>
    </row>
    <row r="75" spans="2:37">
      <c r="B75" s="33" t="s">
        <v>71</v>
      </c>
      <c r="G75" s="35">
        <f ca="1">IRR(G70:R70)</f>
        <v>0.21926863187949697</v>
      </c>
    </row>
    <row r="76" spans="2:37" ht="16" thickBot="1">
      <c r="B76" s="36" t="s">
        <v>72</v>
      </c>
      <c r="C76" s="37"/>
      <c r="D76" s="37"/>
      <c r="E76" s="37"/>
      <c r="F76" s="37"/>
      <c r="G76" s="38">
        <f ca="1">(G72/-G70)+1</f>
        <v>3.7105555239946497</v>
      </c>
    </row>
    <row r="78" spans="2:37">
      <c r="B78" s="3" t="s">
        <v>73</v>
      </c>
      <c r="G78" s="8">
        <f ca="1">G39</f>
        <v>31202063.426394425</v>
      </c>
    </row>
    <row r="79" spans="2:37">
      <c r="B79" s="3" t="s">
        <v>74</v>
      </c>
      <c r="H79" s="8">
        <f t="shared" ref="H79:R79" si="13">IF(H42=$G$32,FV($G$37/12,H42*12,$G$40,$G$39),0)</f>
        <v>0</v>
      </c>
      <c r="I79" s="8">
        <f t="shared" si="13"/>
        <v>0</v>
      </c>
      <c r="J79" s="8">
        <f t="shared" si="13"/>
        <v>0</v>
      </c>
      <c r="K79" s="8">
        <f t="shared" si="13"/>
        <v>0</v>
      </c>
      <c r="L79" s="8">
        <f t="shared" si="13"/>
        <v>0</v>
      </c>
      <c r="M79" s="8">
        <f t="shared" si="13"/>
        <v>0</v>
      </c>
      <c r="N79" s="8">
        <f t="shared" si="13"/>
        <v>0</v>
      </c>
      <c r="O79" s="8">
        <f t="shared" ca="1" si="13"/>
        <v>-26787874.40318295</v>
      </c>
      <c r="P79" s="8">
        <f t="shared" si="13"/>
        <v>0</v>
      </c>
      <c r="Q79" s="8">
        <f t="shared" si="13"/>
        <v>0</v>
      </c>
      <c r="R79" s="8">
        <f t="shared" si="13"/>
        <v>0</v>
      </c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2:37">
      <c r="B80" s="3" t="s">
        <v>75</v>
      </c>
      <c r="H80" s="8">
        <f ca="1">IF(H42&lt;=$G$32,$G$40*12,0)</f>
        <v>-2009993.0795861711</v>
      </c>
      <c r="I80" s="8">
        <f t="shared" ref="I80:R80" ca="1" si="14">IF(I42&lt;=$G$32,$G$40*12,0)</f>
        <v>-2009993.0795861711</v>
      </c>
      <c r="J80" s="8">
        <f t="shared" ca="1" si="14"/>
        <v>-2009993.0795861711</v>
      </c>
      <c r="K80" s="8">
        <f t="shared" ca="1" si="14"/>
        <v>-2009993.0795861711</v>
      </c>
      <c r="L80" s="8">
        <f t="shared" ca="1" si="14"/>
        <v>-2009993.0795861711</v>
      </c>
      <c r="M80" s="8">
        <f t="shared" ca="1" si="14"/>
        <v>-2009993.0795861711</v>
      </c>
      <c r="N80" s="8">
        <f t="shared" ca="1" si="14"/>
        <v>-2009993.0795861711</v>
      </c>
      <c r="O80" s="8">
        <f t="shared" ca="1" si="14"/>
        <v>-2009993.0795861711</v>
      </c>
      <c r="P80" s="8">
        <f t="shared" si="14"/>
        <v>0</v>
      </c>
      <c r="Q80" s="8">
        <f t="shared" si="14"/>
        <v>0</v>
      </c>
      <c r="R80" s="8">
        <f t="shared" si="14"/>
        <v>0</v>
      </c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>
      <c r="B81" s="325" t="s">
        <v>438</v>
      </c>
      <c r="H81" s="219">
        <f ca="1">SUM(H79:H80)</f>
        <v>-2009993.0795861711</v>
      </c>
      <c r="I81" s="219">
        <f t="shared" ref="I81:Q81" ca="1" si="15">SUM(I79:I80)</f>
        <v>-2009993.0795861711</v>
      </c>
      <c r="J81" s="219">
        <f t="shared" ca="1" si="15"/>
        <v>-2009993.0795861711</v>
      </c>
      <c r="K81" s="219">
        <f t="shared" ca="1" si="15"/>
        <v>-2009993.0795861711</v>
      </c>
      <c r="L81" s="219">
        <f t="shared" ca="1" si="15"/>
        <v>-2009993.0795861711</v>
      </c>
      <c r="M81" s="219">
        <f t="shared" ca="1" si="15"/>
        <v>-2009993.0795861711</v>
      </c>
      <c r="N81" s="219">
        <f t="shared" ca="1" si="15"/>
        <v>-2009993.0795861711</v>
      </c>
      <c r="O81" s="219">
        <f t="shared" ca="1" si="15"/>
        <v>-28797867.48276912</v>
      </c>
      <c r="P81" s="219">
        <f t="shared" si="15"/>
        <v>0</v>
      </c>
      <c r="Q81" s="219">
        <f t="shared" si="15"/>
        <v>0</v>
      </c>
    </row>
    <row r="82" spans="1:37">
      <c r="B82" s="62" t="s">
        <v>76</v>
      </c>
      <c r="C82" s="62"/>
      <c r="D82" s="62"/>
      <c r="E82" s="62"/>
      <c r="F82" s="62"/>
      <c r="G82" s="63">
        <f t="shared" ref="G82:R82" ca="1" si="16">IF(G42&lt;=$G$32,SUM(G70,G78:G80),0)</f>
        <v>-16801111.075750843</v>
      </c>
      <c r="H82" s="63">
        <f t="shared" ca="1" si="16"/>
        <v>3609467.5264817565</v>
      </c>
      <c r="I82" s="63">
        <f t="shared" ca="1" si="16"/>
        <v>3790048.4174031154</v>
      </c>
      <c r="J82" s="63">
        <f t="shared" ca="1" si="16"/>
        <v>3976286.6765069007</v>
      </c>
      <c r="K82" s="63">
        <f t="shared" ca="1" si="16"/>
        <v>4168356.8236676813</v>
      </c>
      <c r="L82" s="63">
        <f t="shared" ca="1" si="16"/>
        <v>4366438.7103328463</v>
      </c>
      <c r="M82" s="63">
        <f t="shared" ca="1" si="16"/>
        <v>4570717.6813893169</v>
      </c>
      <c r="N82" s="63">
        <f t="shared" ca="1" si="16"/>
        <v>4781384.7419246603</v>
      </c>
      <c r="O82" s="63">
        <f t="shared" ca="1" si="16"/>
        <v>98755255.132251397</v>
      </c>
      <c r="P82" s="63">
        <f t="shared" si="16"/>
        <v>0</v>
      </c>
      <c r="Q82" s="63">
        <f t="shared" si="16"/>
        <v>0</v>
      </c>
      <c r="R82" s="63">
        <f t="shared" si="16"/>
        <v>0</v>
      </c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ht="16" thickBot="1"/>
    <row r="84" spans="1:37">
      <c r="B84" s="30" t="s">
        <v>68</v>
      </c>
      <c r="C84" s="31"/>
      <c r="D84" s="31"/>
      <c r="E84" s="31"/>
      <c r="F84" s="31"/>
      <c r="G84" s="32">
        <f ca="1">SUM(G82:R82)</f>
        <v>111216844.63420683</v>
      </c>
    </row>
    <row r="85" spans="1:37">
      <c r="B85" s="33" t="s">
        <v>69</v>
      </c>
      <c r="G85" s="34">
        <f ca="1">NPV($R$26,H82:R82)</f>
        <v>77216743.437555641</v>
      </c>
    </row>
    <row r="86" spans="1:37">
      <c r="B86" s="33" t="s">
        <v>70</v>
      </c>
      <c r="G86" s="34">
        <f ca="1">G85+G82</f>
        <v>60415632.361804798</v>
      </c>
    </row>
    <row r="87" spans="1:37">
      <c r="B87" s="33" t="s">
        <v>77</v>
      </c>
      <c r="G87" s="39">
        <f ca="1">IRR(G82:R82)</f>
        <v>0.38017102816040493</v>
      </c>
    </row>
    <row r="88" spans="1:37" ht="16" thickBot="1">
      <c r="B88" s="36" t="s">
        <v>72</v>
      </c>
      <c r="C88" s="37"/>
      <c r="D88" s="37"/>
      <c r="E88" s="37"/>
      <c r="F88" s="37"/>
      <c r="G88" s="38">
        <f ca="1">(G84/-G82)+1</f>
        <v>7.6196124847199451</v>
      </c>
    </row>
    <row r="90" spans="1:37" s="5" customFormat="1">
      <c r="A90" s="40"/>
      <c r="B90" s="5" t="s">
        <v>143</v>
      </c>
      <c r="H90" s="27">
        <f t="shared" ref="H90:R90" si="17">H42</f>
        <v>1</v>
      </c>
      <c r="I90" s="27">
        <f t="shared" si="17"/>
        <v>2</v>
      </c>
      <c r="J90" s="27">
        <f t="shared" si="17"/>
        <v>3</v>
      </c>
      <c r="K90" s="27">
        <f t="shared" si="17"/>
        <v>4</v>
      </c>
      <c r="L90" s="27">
        <f t="shared" si="17"/>
        <v>5</v>
      </c>
      <c r="M90" s="27">
        <f t="shared" si="17"/>
        <v>6</v>
      </c>
      <c r="N90" s="27">
        <f t="shared" si="17"/>
        <v>7</v>
      </c>
      <c r="O90" s="27">
        <f t="shared" si="17"/>
        <v>8</v>
      </c>
      <c r="P90" s="27">
        <f t="shared" si="17"/>
        <v>9</v>
      </c>
      <c r="Q90" s="27">
        <f t="shared" si="17"/>
        <v>10</v>
      </c>
      <c r="R90" s="27">
        <f t="shared" si="17"/>
        <v>11</v>
      </c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</row>
    <row r="91" spans="1:37">
      <c r="B91" s="3" t="s">
        <v>144</v>
      </c>
      <c r="H91" s="9">
        <f t="shared" ref="H91:R91" ca="1" si="18">H47/$G$17</f>
        <v>42</v>
      </c>
      <c r="I91" s="9">
        <f t="shared" ca="1" si="18"/>
        <v>43.260000000000005</v>
      </c>
      <c r="J91" s="9">
        <f t="shared" ca="1" si="18"/>
        <v>44.5578</v>
      </c>
      <c r="K91" s="9">
        <f t="shared" ca="1" si="18"/>
        <v>45.894534</v>
      </c>
      <c r="L91" s="9">
        <f t="shared" ca="1" si="18"/>
        <v>47.271370019999992</v>
      </c>
      <c r="M91" s="9">
        <f t="shared" ca="1" si="18"/>
        <v>48.689511120599995</v>
      </c>
      <c r="N91" s="9">
        <f t="shared" ca="1" si="18"/>
        <v>50.150196454217998</v>
      </c>
      <c r="O91" s="9">
        <f t="shared" ca="1" si="18"/>
        <v>51.654702347844534</v>
      </c>
      <c r="P91" s="9">
        <f t="shared" ca="1" si="18"/>
        <v>53.204343418279869</v>
      </c>
      <c r="Q91" s="9">
        <f t="shared" ca="1" si="18"/>
        <v>54.800473720828265</v>
      </c>
      <c r="R91" s="9">
        <f t="shared" ca="1" si="18"/>
        <v>56.444487932453107</v>
      </c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</row>
    <row r="92" spans="1:37">
      <c r="B92" s="3" t="s">
        <v>128</v>
      </c>
      <c r="H92" s="9">
        <f t="shared" ref="H92:R92" ca="1" si="19">H49/$G$17</f>
        <v>0</v>
      </c>
      <c r="I92" s="9">
        <f t="shared" ca="1" si="19"/>
        <v>0</v>
      </c>
      <c r="J92" s="9">
        <f t="shared" ca="1" si="19"/>
        <v>0</v>
      </c>
      <c r="K92" s="9">
        <f t="shared" ca="1" si="19"/>
        <v>0</v>
      </c>
      <c r="L92" s="9">
        <f t="shared" ca="1" si="19"/>
        <v>0</v>
      </c>
      <c r="M92" s="9">
        <f t="shared" ca="1" si="19"/>
        <v>0</v>
      </c>
      <c r="N92" s="9">
        <f t="shared" ca="1" si="19"/>
        <v>0</v>
      </c>
      <c r="O92" s="9">
        <f t="shared" ca="1" si="19"/>
        <v>0</v>
      </c>
      <c r="P92" s="9">
        <f t="shared" ca="1" si="19"/>
        <v>0</v>
      </c>
      <c r="Q92" s="9">
        <f t="shared" ca="1" si="19"/>
        <v>0</v>
      </c>
      <c r="R92" s="9">
        <f t="shared" ca="1" si="19"/>
        <v>0</v>
      </c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</row>
    <row r="93" spans="1:37">
      <c r="B93" s="3" t="s">
        <v>37</v>
      </c>
      <c r="H93" s="9">
        <f ca="1">H91-H92</f>
        <v>42</v>
      </c>
      <c r="I93" s="9">
        <f t="shared" ref="I93:R93" ca="1" si="20">I91-I92</f>
        <v>43.260000000000005</v>
      </c>
      <c r="J93" s="9">
        <f t="shared" ca="1" si="20"/>
        <v>44.5578</v>
      </c>
      <c r="K93" s="9">
        <f t="shared" ca="1" si="20"/>
        <v>45.894534</v>
      </c>
      <c r="L93" s="9">
        <f t="shared" ca="1" si="20"/>
        <v>47.271370019999992</v>
      </c>
      <c r="M93" s="9">
        <f t="shared" ca="1" si="20"/>
        <v>48.689511120599995</v>
      </c>
      <c r="N93" s="9">
        <f t="shared" ca="1" si="20"/>
        <v>50.150196454217998</v>
      </c>
      <c r="O93" s="9">
        <f t="shared" ca="1" si="20"/>
        <v>51.654702347844534</v>
      </c>
      <c r="P93" s="9">
        <f t="shared" ca="1" si="20"/>
        <v>53.204343418279869</v>
      </c>
      <c r="Q93" s="9">
        <f t="shared" ca="1" si="20"/>
        <v>54.800473720828265</v>
      </c>
      <c r="R93" s="9">
        <f t="shared" ca="1" si="20"/>
        <v>56.444487932453107</v>
      </c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</row>
    <row r="94" spans="1:37">
      <c r="B94" s="3" t="s">
        <v>145</v>
      </c>
      <c r="H94" s="28">
        <f>$G$28</f>
        <v>0.06</v>
      </c>
      <c r="I94" s="28">
        <f t="shared" ref="I94:R94" si="21">$G$28</f>
        <v>0.06</v>
      </c>
      <c r="J94" s="28">
        <f t="shared" si="21"/>
        <v>0.06</v>
      </c>
      <c r="K94" s="28">
        <f t="shared" si="21"/>
        <v>0.06</v>
      </c>
      <c r="L94" s="28">
        <f t="shared" si="21"/>
        <v>0.06</v>
      </c>
      <c r="M94" s="28">
        <f t="shared" si="21"/>
        <v>0.06</v>
      </c>
      <c r="N94" s="28">
        <f t="shared" si="21"/>
        <v>0.06</v>
      </c>
      <c r="O94" s="28">
        <f t="shared" si="21"/>
        <v>0.06</v>
      </c>
      <c r="P94" s="28">
        <f t="shared" si="21"/>
        <v>0.06</v>
      </c>
      <c r="Q94" s="28">
        <f t="shared" si="21"/>
        <v>0.06</v>
      </c>
      <c r="R94" s="28">
        <f t="shared" si="21"/>
        <v>0.06</v>
      </c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</row>
    <row r="95" spans="1:37">
      <c r="B95" s="3" t="s">
        <v>104</v>
      </c>
      <c r="H95" s="9">
        <f ca="1">H93*H94</f>
        <v>2.52</v>
      </c>
      <c r="I95" s="9">
        <f t="shared" ref="I95:R95" ca="1" si="22">I93*I94</f>
        <v>2.5956000000000001</v>
      </c>
      <c r="J95" s="9">
        <f t="shared" ca="1" si="22"/>
        <v>2.6734679999999997</v>
      </c>
      <c r="K95" s="9">
        <f t="shared" ca="1" si="22"/>
        <v>2.7536720400000001</v>
      </c>
      <c r="L95" s="9">
        <f t="shared" ca="1" si="22"/>
        <v>2.8362822011999995</v>
      </c>
      <c r="M95" s="9">
        <f t="shared" ca="1" si="22"/>
        <v>2.9213706672359998</v>
      </c>
      <c r="N95" s="9">
        <f t="shared" ca="1" si="22"/>
        <v>3.0090117872530797</v>
      </c>
      <c r="O95" s="9">
        <f t="shared" ca="1" si="22"/>
        <v>3.0992821408706721</v>
      </c>
      <c r="P95" s="9">
        <f t="shared" ca="1" si="22"/>
        <v>3.1922606050967919</v>
      </c>
      <c r="Q95" s="9">
        <f t="shared" ca="1" si="22"/>
        <v>3.2880284232496959</v>
      </c>
      <c r="R95" s="9">
        <f t="shared" ca="1" si="22"/>
        <v>3.3866692759471864</v>
      </c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</row>
    <row r="97" spans="2:37">
      <c r="B97"/>
      <c r="C97"/>
      <c r="D97"/>
      <c r="E97"/>
      <c r="F97"/>
      <c r="G97"/>
      <c r="H97"/>
      <c r="I97"/>
      <c r="J97"/>
      <c r="K97"/>
      <c r="L97" s="5"/>
      <c r="M97" s="5"/>
      <c r="N97" s="5"/>
      <c r="O97" s="5"/>
      <c r="P97" s="7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</row>
    <row r="98" spans="2:37">
      <c r="B98"/>
      <c r="C98"/>
      <c r="D98"/>
      <c r="E98"/>
      <c r="F98"/>
      <c r="G98"/>
      <c r="H98"/>
      <c r="I98"/>
      <c r="J98"/>
      <c r="K98"/>
    </row>
    <row r="99" spans="2:37">
      <c r="B99"/>
      <c r="C99"/>
      <c r="D99"/>
      <c r="E99"/>
      <c r="F99"/>
      <c r="G99"/>
      <c r="H99"/>
      <c r="I99"/>
      <c r="J99"/>
      <c r="K99"/>
    </row>
    <row r="100" spans="2:37">
      <c r="B100"/>
      <c r="C100"/>
      <c r="D100"/>
      <c r="E100"/>
      <c r="F100"/>
      <c r="G100"/>
      <c r="H100"/>
      <c r="I100"/>
      <c r="J100"/>
      <c r="K100"/>
    </row>
    <row r="101" spans="2:37">
      <c r="B101"/>
      <c r="C101"/>
      <c r="D101"/>
      <c r="E101"/>
      <c r="F101"/>
      <c r="G101"/>
      <c r="H101"/>
      <c r="I101"/>
      <c r="J101"/>
      <c r="K101"/>
    </row>
    <row r="102" spans="2:37">
      <c r="B102"/>
      <c r="C102"/>
      <c r="D102"/>
      <c r="E102"/>
      <c r="F102"/>
      <c r="G102"/>
      <c r="H102"/>
      <c r="I102"/>
      <c r="J102"/>
      <c r="K102"/>
    </row>
    <row r="103" spans="2:37">
      <c r="B103"/>
      <c r="C103"/>
      <c r="D103"/>
      <c r="E103"/>
      <c r="F103"/>
      <c r="G103"/>
      <c r="H103"/>
      <c r="I103"/>
      <c r="J103"/>
      <c r="K103"/>
    </row>
    <row r="104" spans="2:37">
      <c r="B104"/>
      <c r="C104"/>
      <c r="D104"/>
      <c r="E104"/>
      <c r="F104"/>
      <c r="G104"/>
      <c r="H104"/>
      <c r="I104"/>
      <c r="J104"/>
      <c r="K104"/>
    </row>
    <row r="105" spans="2:37">
      <c r="B105"/>
      <c r="C105"/>
      <c r="D105"/>
      <c r="E105"/>
      <c r="F105"/>
      <c r="G105"/>
      <c r="H105"/>
      <c r="I105"/>
      <c r="J105"/>
      <c r="K105"/>
    </row>
    <row r="106" spans="2:37">
      <c r="B106"/>
      <c r="C106"/>
      <c r="D106"/>
      <c r="E106"/>
      <c r="F106"/>
      <c r="G106"/>
      <c r="H106"/>
      <c r="I106"/>
      <c r="J106"/>
      <c r="K106"/>
    </row>
    <row r="107" spans="2:37">
      <c r="B107"/>
      <c r="C107"/>
      <c r="D107"/>
      <c r="E107"/>
      <c r="F107"/>
      <c r="G107"/>
      <c r="H107"/>
      <c r="I107"/>
      <c r="J107"/>
      <c r="K107"/>
    </row>
  </sheetData>
  <pageMargins left="0.7" right="0.7" top="0.75" bottom="0.75" header="0.3" footer="0.3"/>
  <pageSetup scale="48" orientation="portrait" r:id="rId1"/>
  <headerFooter>
    <oddHeader xml:space="preserve">&amp;L2019 ULI Hines Student Competition&amp;R2019-331 &amp;A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8B677-F6FF-4628-A09A-0595FA505163}">
  <sheetPr>
    <tabColor theme="9"/>
  </sheetPr>
  <dimension ref="A3:T107"/>
  <sheetViews>
    <sheetView showGridLines="0" view="pageBreakPreview" zoomScale="85" zoomScaleNormal="100" zoomScaleSheetLayoutView="85" workbookViewId="0">
      <selection activeCell="C2" sqref="C2"/>
    </sheetView>
  </sheetViews>
  <sheetFormatPr baseColWidth="10" defaultColWidth="8.83203125" defaultRowHeight="15"/>
  <cols>
    <col min="1" max="1" width="3.5" style="180" customWidth="1"/>
    <col min="2" max="2" width="1.6640625" style="180" customWidth="1"/>
    <col min="3" max="3" width="3" style="180" customWidth="1"/>
    <col min="4" max="4" width="1.6640625" style="180" customWidth="1"/>
    <col min="5" max="5" width="17.6640625" style="180" customWidth="1"/>
    <col min="6" max="6" width="8.83203125" style="180" customWidth="1"/>
    <col min="7" max="7" width="16.33203125" style="180" customWidth="1"/>
    <col min="8" max="8" width="13.5" style="180" bestFit="1" customWidth="1"/>
    <col min="9" max="9" width="12.33203125" style="180" bestFit="1" customWidth="1"/>
    <col min="10" max="10" width="13.6640625" style="180" bestFit="1" customWidth="1"/>
    <col min="11" max="12" width="12.5" style="180" bestFit="1" customWidth="1"/>
    <col min="13" max="14" width="12.33203125" style="180" bestFit="1" customWidth="1"/>
    <col min="15" max="15" width="12.1640625" style="180" bestFit="1" customWidth="1"/>
    <col min="16" max="16" width="13" style="183" customWidth="1"/>
    <col min="17" max="17" width="13" style="180" customWidth="1"/>
    <col min="18" max="18" width="13.1640625" style="180" customWidth="1"/>
    <col min="19" max="20" width="8.83203125" style="180"/>
    <col min="21" max="21" width="8.83203125" style="184"/>
    <col min="22" max="22" width="14.1640625" style="184" bestFit="1" customWidth="1"/>
    <col min="23" max="16384" width="8.83203125" style="184"/>
  </cols>
  <sheetData>
    <row r="3" spans="2:18">
      <c r="C3" s="45">
        <v>1</v>
      </c>
      <c r="D3" s="181" t="s">
        <v>41</v>
      </c>
      <c r="E3" s="181"/>
      <c r="F3" s="182" t="s">
        <v>425</v>
      </c>
      <c r="G3" s="182" t="s">
        <v>310</v>
      </c>
    </row>
    <row r="4" spans="2:18">
      <c r="C4" s="183">
        <v>2</v>
      </c>
      <c r="D4" s="185" t="s">
        <v>186</v>
      </c>
      <c r="E4" s="185"/>
      <c r="F4" s="186"/>
      <c r="G4" s="186">
        <f>Assumptions!U19</f>
        <v>0</v>
      </c>
    </row>
    <row r="5" spans="2:18">
      <c r="C5" s="183">
        <v>3</v>
      </c>
      <c r="D5" s="185" t="s">
        <v>422</v>
      </c>
      <c r="E5" s="185"/>
      <c r="F5" s="186">
        <f>Assumptions!E69</f>
        <v>164.61844775712001</v>
      </c>
      <c r="G5" s="186">
        <f ca="1">F5*$G$17</f>
        <v>13465262.247499594</v>
      </c>
    </row>
    <row r="6" spans="2:18">
      <c r="C6" s="183">
        <v>4</v>
      </c>
      <c r="D6" s="185" t="s">
        <v>423</v>
      </c>
      <c r="E6" s="185"/>
      <c r="F6" s="186">
        <f>Assumptions!G69</f>
        <v>24.692767163568</v>
      </c>
      <c r="G6" s="186">
        <f ca="1">F6*$G$17</f>
        <v>2019789.3371249391</v>
      </c>
    </row>
    <row r="7" spans="2:18">
      <c r="C7" s="183">
        <v>5</v>
      </c>
      <c r="D7" s="185" t="s">
        <v>187</v>
      </c>
      <c r="E7" s="185"/>
      <c r="F7" s="186"/>
      <c r="G7" s="186">
        <f ca="1">Assumptions!V19</f>
        <v>643019.75762542884</v>
      </c>
    </row>
    <row r="8" spans="2:18">
      <c r="C8" s="183">
        <v>6</v>
      </c>
      <c r="D8" s="185" t="s">
        <v>424</v>
      </c>
      <c r="E8" s="185"/>
      <c r="F8" s="186">
        <f>Assumptions!E71</f>
        <v>12000</v>
      </c>
      <c r="G8" s="186">
        <f ca="1">F8*Assumptions!T19</f>
        <v>925422.22222222236</v>
      </c>
    </row>
    <row r="9" spans="2:18">
      <c r="C9" s="183">
        <v>7</v>
      </c>
      <c r="D9" s="185" t="s">
        <v>121</v>
      </c>
      <c r="E9" s="185"/>
      <c r="F9" s="188"/>
      <c r="G9" s="186">
        <f ca="1">-G62</f>
        <v>4089840</v>
      </c>
    </row>
    <row r="10" spans="2:18">
      <c r="C10" s="183">
        <v>8</v>
      </c>
      <c r="D10" s="185" t="s">
        <v>123</v>
      </c>
      <c r="E10" s="185"/>
      <c r="F10" s="187"/>
      <c r="G10" s="186">
        <f ca="1">-G61</f>
        <v>625349.26083370752</v>
      </c>
    </row>
    <row r="11" spans="2:18">
      <c r="C11" s="183">
        <v>9</v>
      </c>
      <c r="D11" s="185"/>
      <c r="E11" s="185"/>
      <c r="F11" s="187"/>
      <c r="G11" s="186"/>
    </row>
    <row r="12" spans="2:18">
      <c r="C12" s="183">
        <v>10</v>
      </c>
      <c r="D12" s="304" t="s">
        <v>426</v>
      </c>
      <c r="E12" s="304"/>
      <c r="F12" s="305">
        <f ca="1">G12/G17</f>
        <v>266.13122793686171</v>
      </c>
      <c r="G12" s="305">
        <f ca="1">G4+G5+G6+G7+G8+G9+G10</f>
        <v>21768682.82530589</v>
      </c>
    </row>
    <row r="13" spans="2:18">
      <c r="B13" s="190"/>
    </row>
    <row r="14" spans="2:18">
      <c r="B14" s="191" t="s">
        <v>102</v>
      </c>
    </row>
    <row r="16" spans="2:18">
      <c r="B16" s="426" t="s">
        <v>2</v>
      </c>
      <c r="C16" s="426"/>
      <c r="D16" s="426"/>
      <c r="E16" s="426"/>
      <c r="F16" s="426"/>
      <c r="G16" s="426"/>
      <c r="H16" s="426"/>
      <c r="I16" s="6"/>
      <c r="J16" s="5" t="s">
        <v>103</v>
      </c>
      <c r="K16" s="5"/>
      <c r="L16" s="5"/>
      <c r="M16" s="5"/>
      <c r="N16" s="7" t="s">
        <v>104</v>
      </c>
      <c r="P16" s="426" t="s">
        <v>41</v>
      </c>
      <c r="Q16" s="426"/>
      <c r="R16" s="426"/>
    </row>
    <row r="17" spans="2:19">
      <c r="B17" s="180" t="s">
        <v>14</v>
      </c>
      <c r="F17" s="19">
        <v>0.8</v>
      </c>
      <c r="G17" s="396">
        <f ca="1">Assumptions!P19*F17</f>
        <v>81796.800000000003</v>
      </c>
      <c r="J17" s="180" t="s">
        <v>47</v>
      </c>
      <c r="M17" s="192">
        <f ca="1">G17*G21</f>
        <v>1963123.2000000002</v>
      </c>
      <c r="N17" s="193">
        <f ca="1">M17/G17</f>
        <v>24</v>
      </c>
      <c r="P17" s="180" t="s">
        <v>105</v>
      </c>
      <c r="R17" s="398">
        <f ca="1">G12</f>
        <v>21768682.82530589</v>
      </c>
    </row>
    <row r="18" spans="2:19">
      <c r="J18" s="180" t="s">
        <v>60</v>
      </c>
      <c r="M18" s="192">
        <f ca="1">-M17*G24</f>
        <v>-196312.32000000004</v>
      </c>
      <c r="N18" s="183"/>
      <c r="P18" s="194" t="s">
        <v>44</v>
      </c>
      <c r="Q18" s="274">
        <v>0.01</v>
      </c>
      <c r="R18" s="192">
        <f ca="1">R17*Q18</f>
        <v>217686.82825305892</v>
      </c>
      <c r="S18" s="11"/>
    </row>
    <row r="19" spans="2:19">
      <c r="B19" s="5" t="s">
        <v>106</v>
      </c>
      <c r="C19" s="5"/>
      <c r="D19" s="5"/>
      <c r="E19" s="5"/>
      <c r="F19" s="5"/>
      <c r="G19" s="5"/>
      <c r="H19" s="5"/>
      <c r="I19" s="6"/>
      <c r="J19" s="195" t="s">
        <v>61</v>
      </c>
      <c r="K19" s="195"/>
      <c r="L19" s="195"/>
      <c r="M19" s="196">
        <f ca="1">M17+M18</f>
        <v>1766810.8800000001</v>
      </c>
      <c r="N19" s="197"/>
      <c r="P19" s="198" t="s">
        <v>45</v>
      </c>
      <c r="Q19" s="195"/>
      <c r="R19" s="196">
        <f ca="1">SUM(R17:R18)</f>
        <v>21986369.653558951</v>
      </c>
      <c r="S19" s="16"/>
    </row>
    <row r="20" spans="2:19">
      <c r="B20" s="180" t="s">
        <v>107</v>
      </c>
      <c r="G20" s="17">
        <v>15</v>
      </c>
      <c r="H20" s="180" t="s">
        <v>108</v>
      </c>
      <c r="N20" s="183"/>
    </row>
    <row r="21" spans="2:19">
      <c r="B21" s="180" t="s">
        <v>109</v>
      </c>
      <c r="G21" s="403">
        <f>ROUNDUP(Assumptions!H69,0)</f>
        <v>24</v>
      </c>
      <c r="H21" s="180" t="s">
        <v>110</v>
      </c>
      <c r="J21" s="18" t="s">
        <v>111</v>
      </c>
      <c r="N21" s="183"/>
      <c r="P21" s="5" t="s">
        <v>32</v>
      </c>
      <c r="Q21" s="5"/>
      <c r="R21" s="5"/>
    </row>
    <row r="22" spans="2:19">
      <c r="B22" s="180" t="s">
        <v>112</v>
      </c>
      <c r="G22" s="19">
        <v>0.03</v>
      </c>
      <c r="H22" s="180" t="s">
        <v>113</v>
      </c>
      <c r="J22" s="180" t="s">
        <v>114</v>
      </c>
      <c r="M22" s="192">
        <f ca="1">N22*$G$17</f>
        <v>122695.20000000001</v>
      </c>
      <c r="N22" s="20">
        <v>1.5</v>
      </c>
      <c r="P22" s="194" t="s">
        <v>7</v>
      </c>
      <c r="R22" s="192">
        <f ca="1">G37</f>
        <v>14291140.274813319</v>
      </c>
    </row>
    <row r="23" spans="2:19">
      <c r="B23" s="180" t="s">
        <v>115</v>
      </c>
      <c r="G23" s="19">
        <v>0.02</v>
      </c>
      <c r="J23" s="180" t="s">
        <v>116</v>
      </c>
      <c r="M23" s="192">
        <f ca="1">N23*$G$17</f>
        <v>122695.20000000001</v>
      </c>
      <c r="N23" s="20">
        <v>1.5</v>
      </c>
      <c r="P23" s="194" t="s">
        <v>34</v>
      </c>
      <c r="R23" s="192">
        <f ca="1">R24-R22</f>
        <v>7695229.3787456322</v>
      </c>
    </row>
    <row r="24" spans="2:19">
      <c r="B24" s="180" t="s">
        <v>117</v>
      </c>
      <c r="G24" s="19">
        <v>0.1</v>
      </c>
      <c r="H24" s="41" t="s">
        <v>427</v>
      </c>
      <c r="J24" s="180" t="s">
        <v>119</v>
      </c>
      <c r="M24" s="192">
        <f ca="1">N24*$G$17</f>
        <v>163593.60000000001</v>
      </c>
      <c r="N24" s="20">
        <v>2</v>
      </c>
      <c r="P24" s="198" t="s">
        <v>120</v>
      </c>
      <c r="Q24" s="195"/>
      <c r="R24" s="196">
        <f ca="1">R19</f>
        <v>21986369.653558951</v>
      </c>
    </row>
    <row r="25" spans="2:19">
      <c r="B25" s="180" t="s">
        <v>121</v>
      </c>
      <c r="G25" s="17">
        <v>50</v>
      </c>
      <c r="H25" s="180" t="s">
        <v>122</v>
      </c>
      <c r="J25" s="180" t="s">
        <v>31</v>
      </c>
      <c r="L25" s="274">
        <v>0.32</v>
      </c>
      <c r="M25" s="275">
        <f ca="1">(G12*L25)*N25</f>
        <v>122106.63719833182</v>
      </c>
      <c r="N25" s="397">
        <f>1.7529/100</f>
        <v>1.7528999999999999E-2</v>
      </c>
    </row>
    <row r="26" spans="2:19">
      <c r="B26" s="180" t="s">
        <v>123</v>
      </c>
      <c r="G26" s="19">
        <v>0.06</v>
      </c>
      <c r="J26" s="180" t="s">
        <v>146</v>
      </c>
      <c r="M26" s="192">
        <f ca="1">N26*$M$17</f>
        <v>58893.696000000004</v>
      </c>
      <c r="N26" s="21">
        <v>0.03</v>
      </c>
      <c r="P26" s="180" t="s">
        <v>124</v>
      </c>
      <c r="R26" s="220">
        <v>7.4999999999999997E-2</v>
      </c>
    </row>
    <row r="27" spans="2:19">
      <c r="B27" s="180" t="s">
        <v>125</v>
      </c>
      <c r="G27" s="22">
        <v>5.7500000000000002E-2</v>
      </c>
      <c r="J27" s="195" t="s">
        <v>126</v>
      </c>
      <c r="K27" s="195"/>
      <c r="L27" s="195"/>
      <c r="M27" s="196">
        <f ca="1">SUM(M22:M26)</f>
        <v>589984.33319833176</v>
      </c>
      <c r="N27" s="23">
        <v>4</v>
      </c>
    </row>
    <row r="28" spans="2:19">
      <c r="B28" s="180" t="s">
        <v>127</v>
      </c>
      <c r="G28" s="22">
        <v>5.5E-2</v>
      </c>
      <c r="N28" s="183"/>
    </row>
    <row r="29" spans="2:19">
      <c r="B29" s="180" t="s">
        <v>128</v>
      </c>
      <c r="G29" s="24">
        <v>0</v>
      </c>
      <c r="H29" s="180" t="s">
        <v>129</v>
      </c>
      <c r="J29" s="180" t="s">
        <v>130</v>
      </c>
      <c r="M29" s="192">
        <f ca="1">M19-M27</f>
        <v>1176826.5468016684</v>
      </c>
      <c r="N29" s="183"/>
    </row>
    <row r="30" spans="2:19">
      <c r="B30" s="180" t="s">
        <v>131</v>
      </c>
      <c r="G30" s="25">
        <v>8</v>
      </c>
      <c r="H30" s="180" t="s">
        <v>108</v>
      </c>
      <c r="M30" s="192"/>
      <c r="N30" s="183"/>
    </row>
    <row r="31" spans="2:19">
      <c r="B31" s="180" t="s">
        <v>66</v>
      </c>
      <c r="G31" s="19">
        <v>0</v>
      </c>
      <c r="J31" s="26"/>
      <c r="M31" s="192"/>
      <c r="N31" s="183"/>
    </row>
    <row r="32" spans="2:19">
      <c r="J32" s="26"/>
      <c r="N32" s="183"/>
    </row>
    <row r="33" spans="2:20">
      <c r="B33" s="5" t="s">
        <v>132</v>
      </c>
      <c r="C33" s="5"/>
      <c r="D33" s="5"/>
      <c r="E33" s="5"/>
      <c r="F33" s="5"/>
      <c r="G33" s="5"/>
      <c r="H33" s="5"/>
      <c r="I33" s="6"/>
      <c r="N33" s="183"/>
    </row>
    <row r="34" spans="2:20">
      <c r="B34" s="180" t="s">
        <v>133</v>
      </c>
      <c r="G34" s="19">
        <v>0.65</v>
      </c>
      <c r="H34" s="180" t="s">
        <v>134</v>
      </c>
      <c r="J34" s="16"/>
      <c r="N34" s="183"/>
    </row>
    <row r="35" spans="2:20">
      <c r="B35" s="180" t="s">
        <v>10</v>
      </c>
      <c r="G35" s="19">
        <v>0.05</v>
      </c>
      <c r="J35" s="16"/>
    </row>
    <row r="36" spans="2:20">
      <c r="B36" s="180" t="s">
        <v>81</v>
      </c>
      <c r="G36" s="50">
        <v>30</v>
      </c>
      <c r="H36" s="180" t="s">
        <v>135</v>
      </c>
    </row>
    <row r="37" spans="2:20">
      <c r="B37" s="180" t="s">
        <v>136</v>
      </c>
      <c r="G37" s="192">
        <f ca="1">G34*R19</f>
        <v>14291140.274813319</v>
      </c>
    </row>
    <row r="38" spans="2:20">
      <c r="B38" s="180" t="s">
        <v>137</v>
      </c>
      <c r="G38" s="192">
        <f ca="1">PMT(G35/12,G36*12,G37)</f>
        <v>-76717.931170194337</v>
      </c>
    </row>
    <row r="40" spans="2:20">
      <c r="B40" s="5" t="s">
        <v>51</v>
      </c>
      <c r="C40" s="5"/>
      <c r="D40" s="5"/>
      <c r="E40" s="5"/>
      <c r="F40" s="5"/>
      <c r="G40" s="27">
        <v>0</v>
      </c>
      <c r="H40" s="27">
        <f>G40+1</f>
        <v>1</v>
      </c>
      <c r="I40" s="27">
        <f t="shared" ref="I40:R40" si="0">H40+1</f>
        <v>2</v>
      </c>
      <c r="J40" s="27">
        <f t="shared" si="0"/>
        <v>3</v>
      </c>
      <c r="K40" s="27">
        <f t="shared" si="0"/>
        <v>4</v>
      </c>
      <c r="L40" s="27">
        <f t="shared" si="0"/>
        <v>5</v>
      </c>
      <c r="M40" s="27">
        <f t="shared" si="0"/>
        <v>6</v>
      </c>
      <c r="N40" s="27">
        <f t="shared" si="0"/>
        <v>7</v>
      </c>
      <c r="O40" s="27">
        <f t="shared" si="0"/>
        <v>8</v>
      </c>
      <c r="P40" s="27">
        <f t="shared" si="0"/>
        <v>9</v>
      </c>
      <c r="Q40" s="27">
        <f t="shared" si="0"/>
        <v>10</v>
      </c>
      <c r="R40" s="27">
        <f t="shared" si="0"/>
        <v>11</v>
      </c>
      <c r="S40" s="27"/>
      <c r="T40" s="27"/>
    </row>
    <row r="41" spans="2:20">
      <c r="B41" s="180" t="s">
        <v>52</v>
      </c>
      <c r="H41" s="199">
        <f t="shared" ref="H41:R41" si="1">1-$G$24</f>
        <v>0.9</v>
      </c>
      <c r="I41" s="199">
        <f t="shared" si="1"/>
        <v>0.9</v>
      </c>
      <c r="J41" s="199">
        <f t="shared" si="1"/>
        <v>0.9</v>
      </c>
      <c r="K41" s="199">
        <f t="shared" si="1"/>
        <v>0.9</v>
      </c>
      <c r="L41" s="199">
        <f t="shared" si="1"/>
        <v>0.9</v>
      </c>
      <c r="M41" s="199">
        <f t="shared" si="1"/>
        <v>0.9</v>
      </c>
      <c r="N41" s="199">
        <f t="shared" si="1"/>
        <v>0.9</v>
      </c>
      <c r="O41" s="199">
        <f t="shared" si="1"/>
        <v>0.9</v>
      </c>
      <c r="P41" s="199">
        <f t="shared" si="1"/>
        <v>0.9</v>
      </c>
      <c r="Q41" s="199">
        <f t="shared" si="1"/>
        <v>0.9</v>
      </c>
      <c r="R41" s="199">
        <f t="shared" si="1"/>
        <v>0.9</v>
      </c>
      <c r="S41" s="199"/>
      <c r="T41" s="199"/>
    </row>
    <row r="43" spans="2:20">
      <c r="B43" s="180" t="s">
        <v>138</v>
      </c>
      <c r="G43" s="192">
        <f ca="1">-R19+G9+G10</f>
        <v>-17271180.392725244</v>
      </c>
    </row>
    <row r="44" spans="2:20">
      <c r="I44" s="200"/>
    </row>
    <row r="45" spans="2:20">
      <c r="B45" s="180" t="s">
        <v>47</v>
      </c>
      <c r="H45" s="192">
        <f t="shared" ref="H45:R45" ca="1" si="2">$M$17*(1+$G$22)^G40</f>
        <v>1963123.2000000002</v>
      </c>
      <c r="I45" s="192">
        <f t="shared" ca="1" si="2"/>
        <v>2022016.8960000002</v>
      </c>
      <c r="J45" s="192">
        <f t="shared" ca="1" si="2"/>
        <v>2082677.4028800002</v>
      </c>
      <c r="K45" s="192">
        <f t="shared" ca="1" si="2"/>
        <v>2145157.7249664003</v>
      </c>
      <c r="L45" s="192">
        <f t="shared" ca="1" si="2"/>
        <v>2209512.4567153919</v>
      </c>
      <c r="M45" s="192">
        <f t="shared" ca="1" si="2"/>
        <v>2275797.8304168535</v>
      </c>
      <c r="N45" s="192">
        <f t="shared" ca="1" si="2"/>
        <v>2344071.7653293596</v>
      </c>
      <c r="O45" s="192">
        <f t="shared" ca="1" si="2"/>
        <v>2414393.9182892404</v>
      </c>
      <c r="P45" s="192">
        <f t="shared" ca="1" si="2"/>
        <v>2486825.7358379173</v>
      </c>
      <c r="Q45" s="192">
        <f t="shared" ca="1" si="2"/>
        <v>2561430.5079130549</v>
      </c>
      <c r="R45" s="192">
        <f t="shared" ca="1" si="2"/>
        <v>2638273.4231504467</v>
      </c>
      <c r="S45" s="192"/>
    </row>
    <row r="46" spans="2:20">
      <c r="C46" s="180" t="s">
        <v>60</v>
      </c>
      <c r="H46" s="192">
        <f ca="1">-(1-H41)*H45</f>
        <v>-196312.31999999998</v>
      </c>
      <c r="I46" s="192">
        <f t="shared" ref="I46:R46" ca="1" si="3">-(1-I41)*I45</f>
        <v>-202201.68959999998</v>
      </c>
      <c r="J46" s="192">
        <f t="shared" ca="1" si="3"/>
        <v>-208267.74028799997</v>
      </c>
      <c r="K46" s="192">
        <f t="shared" ca="1" si="3"/>
        <v>-214515.77249663998</v>
      </c>
      <c r="L46" s="192">
        <f t="shared" ca="1" si="3"/>
        <v>-220951.24567153916</v>
      </c>
      <c r="M46" s="192">
        <f t="shared" ca="1" si="3"/>
        <v>-227579.7830416853</v>
      </c>
      <c r="N46" s="192">
        <f t="shared" ca="1" si="3"/>
        <v>-234407.1765329359</v>
      </c>
      <c r="O46" s="192">
        <f t="shared" ca="1" si="3"/>
        <v>-241439.39182892398</v>
      </c>
      <c r="P46" s="192">
        <f t="shared" ca="1" si="3"/>
        <v>-248682.57358379167</v>
      </c>
      <c r="Q46" s="192">
        <f t="shared" ca="1" si="3"/>
        <v>-256143.05079130543</v>
      </c>
      <c r="R46" s="192">
        <f t="shared" ca="1" si="3"/>
        <v>-263827.3423150446</v>
      </c>
      <c r="S46" s="192"/>
    </row>
    <row r="47" spans="2:20">
      <c r="C47" s="180" t="s">
        <v>128</v>
      </c>
      <c r="H47" s="192">
        <v>0</v>
      </c>
      <c r="I47" s="192">
        <v>0</v>
      </c>
      <c r="J47" s="192">
        <v>0</v>
      </c>
      <c r="K47" s="192">
        <v>0</v>
      </c>
      <c r="L47" s="192">
        <v>0</v>
      </c>
      <c r="M47" s="192">
        <v>0</v>
      </c>
      <c r="N47" s="192">
        <v>0</v>
      </c>
      <c r="O47" s="192">
        <v>0</v>
      </c>
      <c r="P47" s="192">
        <v>0</v>
      </c>
      <c r="Q47" s="192">
        <v>0</v>
      </c>
      <c r="R47" s="192">
        <v>0</v>
      </c>
      <c r="S47" s="192"/>
    </row>
    <row r="48" spans="2:20">
      <c r="B48" s="195" t="s">
        <v>61</v>
      </c>
      <c r="C48" s="195"/>
      <c r="D48" s="195"/>
      <c r="E48" s="195"/>
      <c r="F48" s="195"/>
      <c r="G48" s="195"/>
      <c r="H48" s="196">
        <f ca="1">SUM(H45:H47)</f>
        <v>1766810.8800000001</v>
      </c>
      <c r="I48" s="196">
        <f t="shared" ref="I48:R48" ca="1" si="4">SUM(I45:I47)</f>
        <v>1819815.2064000003</v>
      </c>
      <c r="J48" s="196">
        <f t="shared" ca="1" si="4"/>
        <v>1874409.6625920003</v>
      </c>
      <c r="K48" s="196">
        <f t="shared" ca="1" si="4"/>
        <v>1930641.9524697603</v>
      </c>
      <c r="L48" s="196">
        <f t="shared" ca="1" si="4"/>
        <v>1988561.2110438528</v>
      </c>
      <c r="M48" s="196">
        <f t="shared" ca="1" si="4"/>
        <v>2048218.0473751682</v>
      </c>
      <c r="N48" s="196">
        <f t="shared" ca="1" si="4"/>
        <v>2109664.5887964237</v>
      </c>
      <c r="O48" s="196">
        <f t="shared" ca="1" si="4"/>
        <v>2172954.5264603165</v>
      </c>
      <c r="P48" s="196">
        <f t="shared" ca="1" si="4"/>
        <v>2238143.1622541258</v>
      </c>
      <c r="Q48" s="196">
        <f t="shared" ca="1" si="4"/>
        <v>2305287.4571217494</v>
      </c>
      <c r="R48" s="196">
        <f t="shared" ca="1" si="4"/>
        <v>2374446.080835402</v>
      </c>
      <c r="S48" s="196"/>
    </row>
    <row r="50" spans="2:19">
      <c r="B50" s="180" t="s">
        <v>62</v>
      </c>
    </row>
    <row r="51" spans="2:19">
      <c r="C51" s="180" t="str">
        <f>J22</f>
        <v>Repairs and Maintenance</v>
      </c>
      <c r="H51" s="192">
        <f t="shared" ref="H51:R54" ca="1" si="5">$M22*(1+$G$23)^G$40</f>
        <v>122695.20000000001</v>
      </c>
      <c r="I51" s="192">
        <f t="shared" ca="1" si="5"/>
        <v>125149.10400000002</v>
      </c>
      <c r="J51" s="192">
        <f t="shared" ca="1" si="5"/>
        <v>127652.08608000001</v>
      </c>
      <c r="K51" s="192">
        <f t="shared" ca="1" si="5"/>
        <v>130205.1278016</v>
      </c>
      <c r="L51" s="192">
        <f t="shared" ca="1" si="5"/>
        <v>132809.23035763201</v>
      </c>
      <c r="M51" s="192">
        <f t="shared" ca="1" si="5"/>
        <v>135465.41496478466</v>
      </c>
      <c r="N51" s="192">
        <f t="shared" ca="1" si="5"/>
        <v>138174.72326408036</v>
      </c>
      <c r="O51" s="192">
        <f t="shared" ca="1" si="5"/>
        <v>140938.21772936193</v>
      </c>
      <c r="P51" s="192">
        <f t="shared" ca="1" si="5"/>
        <v>143756.98208394917</v>
      </c>
      <c r="Q51" s="192">
        <f t="shared" ca="1" si="5"/>
        <v>146632.12172562815</v>
      </c>
      <c r="R51" s="192">
        <f t="shared" ca="1" si="5"/>
        <v>149564.76416014074</v>
      </c>
      <c r="S51" s="192"/>
    </row>
    <row r="52" spans="2:19">
      <c r="C52" s="180" t="str">
        <f>J23</f>
        <v>Administrative</v>
      </c>
      <c r="H52" s="192">
        <f t="shared" ca="1" si="5"/>
        <v>122695.20000000001</v>
      </c>
      <c r="I52" s="192">
        <f t="shared" ca="1" si="5"/>
        <v>125149.10400000002</v>
      </c>
      <c r="J52" s="192">
        <f t="shared" ca="1" si="5"/>
        <v>127652.08608000001</v>
      </c>
      <c r="K52" s="192">
        <f t="shared" ca="1" si="5"/>
        <v>130205.1278016</v>
      </c>
      <c r="L52" s="192">
        <f t="shared" ca="1" si="5"/>
        <v>132809.23035763201</v>
      </c>
      <c r="M52" s="192">
        <f t="shared" ca="1" si="5"/>
        <v>135465.41496478466</v>
      </c>
      <c r="N52" s="192">
        <f t="shared" ca="1" si="5"/>
        <v>138174.72326408036</v>
      </c>
      <c r="O52" s="192">
        <f t="shared" ca="1" si="5"/>
        <v>140938.21772936193</v>
      </c>
      <c r="P52" s="192">
        <f t="shared" ca="1" si="5"/>
        <v>143756.98208394917</v>
      </c>
      <c r="Q52" s="192">
        <f t="shared" ca="1" si="5"/>
        <v>146632.12172562815</v>
      </c>
      <c r="R52" s="192">
        <f t="shared" ca="1" si="5"/>
        <v>149564.76416014074</v>
      </c>
      <c r="S52" s="192"/>
    </row>
    <row r="53" spans="2:19">
      <c r="C53" s="180" t="str">
        <f>J24</f>
        <v>Utilities</v>
      </c>
      <c r="H53" s="192">
        <f t="shared" ca="1" si="5"/>
        <v>163593.60000000001</v>
      </c>
      <c r="I53" s="192">
        <f t="shared" ca="1" si="5"/>
        <v>166865.47200000001</v>
      </c>
      <c r="J53" s="192">
        <f t="shared" ca="1" si="5"/>
        <v>170202.78143999999</v>
      </c>
      <c r="K53" s="192">
        <f t="shared" ca="1" si="5"/>
        <v>173606.8370688</v>
      </c>
      <c r="L53" s="192">
        <f t="shared" ca="1" si="5"/>
        <v>177078.97381017602</v>
      </c>
      <c r="M53" s="192">
        <f t="shared" ca="1" si="5"/>
        <v>180620.55328637952</v>
      </c>
      <c r="N53" s="192">
        <f t="shared" ca="1" si="5"/>
        <v>184232.96435210714</v>
      </c>
      <c r="O53" s="192">
        <f t="shared" ca="1" si="5"/>
        <v>187917.62363914924</v>
      </c>
      <c r="P53" s="192">
        <f t="shared" ca="1" si="5"/>
        <v>191675.97611193222</v>
      </c>
      <c r="Q53" s="192">
        <f t="shared" ca="1" si="5"/>
        <v>195509.49563417089</v>
      </c>
      <c r="R53" s="192">
        <f t="shared" ca="1" si="5"/>
        <v>199419.68554685431</v>
      </c>
      <c r="S53" s="192"/>
    </row>
    <row r="54" spans="2:19">
      <c r="C54" s="180" t="str">
        <f>J25</f>
        <v>Real Estate Taxes</v>
      </c>
      <c r="H54" s="192">
        <f t="shared" ca="1" si="5"/>
        <v>122106.63719833182</v>
      </c>
      <c r="I54" s="192">
        <f t="shared" ca="1" si="5"/>
        <v>124548.76994229846</v>
      </c>
      <c r="J54" s="192">
        <f t="shared" ca="1" si="5"/>
        <v>127039.74534114443</v>
      </c>
      <c r="K54" s="192">
        <f t="shared" ca="1" si="5"/>
        <v>129580.54024796731</v>
      </c>
      <c r="L54" s="192">
        <f t="shared" ca="1" si="5"/>
        <v>132172.15105292667</v>
      </c>
      <c r="M54" s="192">
        <f t="shared" ca="1" si="5"/>
        <v>134815.59407398521</v>
      </c>
      <c r="N54" s="192">
        <f t="shared" ca="1" si="5"/>
        <v>137511.9059554649</v>
      </c>
      <c r="O54" s="192">
        <f t="shared" ca="1" si="5"/>
        <v>140262.14407457417</v>
      </c>
      <c r="P54" s="192">
        <f t="shared" ca="1" si="5"/>
        <v>143067.38695606566</v>
      </c>
      <c r="Q54" s="192">
        <f t="shared" ca="1" si="5"/>
        <v>145928.73469518698</v>
      </c>
      <c r="R54" s="192">
        <f t="shared" ca="1" si="5"/>
        <v>148847.30938909075</v>
      </c>
      <c r="S54" s="192"/>
    </row>
    <row r="55" spans="2:19">
      <c r="C55" s="180" t="str">
        <f>J26</f>
        <v>Property Mgmt Fee (% gross revs)</v>
      </c>
      <c r="H55" s="192">
        <f t="shared" ref="H55:R55" ca="1" si="6">H45*$N$26</f>
        <v>58893.696000000004</v>
      </c>
      <c r="I55" s="192">
        <f t="shared" ca="1" si="6"/>
        <v>60660.506880000001</v>
      </c>
      <c r="J55" s="192">
        <f t="shared" ca="1" si="6"/>
        <v>62480.322086400003</v>
      </c>
      <c r="K55" s="192">
        <f t="shared" ca="1" si="6"/>
        <v>64354.73174899201</v>
      </c>
      <c r="L55" s="192">
        <f t="shared" ca="1" si="6"/>
        <v>66285.373701461751</v>
      </c>
      <c r="M55" s="192">
        <f t="shared" ca="1" si="6"/>
        <v>68273.934912505603</v>
      </c>
      <c r="N55" s="192">
        <f t="shared" ca="1" si="6"/>
        <v>70322.152959880783</v>
      </c>
      <c r="O55" s="192">
        <f t="shared" ca="1" si="6"/>
        <v>72431.817548677209</v>
      </c>
      <c r="P55" s="192">
        <f t="shared" ca="1" si="6"/>
        <v>74604.772075137516</v>
      </c>
      <c r="Q55" s="192">
        <f t="shared" ca="1" si="6"/>
        <v>76842.915237391644</v>
      </c>
      <c r="R55" s="192">
        <f t="shared" ca="1" si="6"/>
        <v>79148.202694513398</v>
      </c>
      <c r="S55" s="192"/>
    </row>
    <row r="56" spans="2:19">
      <c r="B56" s="195" t="s">
        <v>126</v>
      </c>
      <c r="C56" s="195"/>
      <c r="D56" s="195"/>
      <c r="E56" s="195"/>
      <c r="F56" s="195"/>
      <c r="G56" s="195"/>
      <c r="H56" s="196">
        <f t="shared" ref="H56:R56" ca="1" si="7">SUM(H51:H55)</f>
        <v>589984.33319833176</v>
      </c>
      <c r="I56" s="196">
        <f t="shared" ca="1" si="7"/>
        <v>602372.95682229847</v>
      </c>
      <c r="J56" s="196">
        <f t="shared" ca="1" si="7"/>
        <v>615027.0210275444</v>
      </c>
      <c r="K56" s="196">
        <f t="shared" ca="1" si="7"/>
        <v>627952.36466895929</v>
      </c>
      <c r="L56" s="196">
        <f t="shared" ca="1" si="7"/>
        <v>641154.95927982836</v>
      </c>
      <c r="M56" s="196">
        <f t="shared" ca="1" si="7"/>
        <v>654640.91220243962</v>
      </c>
      <c r="N56" s="196">
        <f t="shared" ca="1" si="7"/>
        <v>668416.46979561355</v>
      </c>
      <c r="O56" s="196">
        <f t="shared" ca="1" si="7"/>
        <v>682488.02072112449</v>
      </c>
      <c r="P56" s="196">
        <f t="shared" ca="1" si="7"/>
        <v>696862.09931103373</v>
      </c>
      <c r="Q56" s="196">
        <f t="shared" ca="1" si="7"/>
        <v>711545.38901800581</v>
      </c>
      <c r="R56" s="196">
        <f t="shared" ca="1" si="7"/>
        <v>726544.72595073993</v>
      </c>
      <c r="S56" s="196"/>
    </row>
    <row r="58" spans="2:19">
      <c r="B58" s="180" t="s">
        <v>64</v>
      </c>
      <c r="H58" s="192">
        <f t="shared" ref="H58:R58" ca="1" si="8">H48-H56</f>
        <v>1176826.5468016684</v>
      </c>
      <c r="I58" s="192">
        <f t="shared" ca="1" si="8"/>
        <v>1217442.2495777018</v>
      </c>
      <c r="J58" s="192">
        <f t="shared" ca="1" si="8"/>
        <v>1259382.6415644558</v>
      </c>
      <c r="K58" s="192">
        <f t="shared" ca="1" si="8"/>
        <v>1302689.587800801</v>
      </c>
      <c r="L58" s="192">
        <f t="shared" ca="1" si="8"/>
        <v>1347406.2517640246</v>
      </c>
      <c r="M58" s="192">
        <f t="shared" ca="1" si="8"/>
        <v>1393577.1351727284</v>
      </c>
      <c r="N58" s="192">
        <f t="shared" ca="1" si="8"/>
        <v>1441248.1190008102</v>
      </c>
      <c r="O58" s="192">
        <f t="shared" ca="1" si="8"/>
        <v>1490466.505739192</v>
      </c>
      <c r="P58" s="192">
        <f t="shared" ca="1" si="8"/>
        <v>1541281.0629430921</v>
      </c>
      <c r="Q58" s="192">
        <f t="shared" ca="1" si="8"/>
        <v>1593742.0681037437</v>
      </c>
      <c r="R58" s="192">
        <f t="shared" ca="1" si="8"/>
        <v>1647901.3548846622</v>
      </c>
      <c r="S58" s="192"/>
    </row>
    <row r="60" spans="2:19">
      <c r="B60" s="180" t="s">
        <v>139</v>
      </c>
    </row>
    <row r="61" spans="2:19">
      <c r="C61" s="180" t="s">
        <v>140</v>
      </c>
      <c r="G61" s="192">
        <f ca="1">-IF($G$30=10,SUM(H93:R93)*G17,SUM(H93:L93)*$G$17)</f>
        <v>-625349.26083370752</v>
      </c>
    </row>
    <row r="62" spans="2:19">
      <c r="C62" s="180" t="s">
        <v>141</v>
      </c>
      <c r="G62" s="192">
        <f ca="1">-G25*G17</f>
        <v>-4089840</v>
      </c>
    </row>
    <row r="64" spans="2:19">
      <c r="B64" s="180" t="s">
        <v>142</v>
      </c>
      <c r="G64" s="192">
        <f ca="1">IF(G40&lt;=$G$30+1,G43+G58+SUM(G61:G62),0)</f>
        <v>-21986369.653558951</v>
      </c>
      <c r="H64" s="192">
        <f ca="1">IF(H40&lt;=$G$30+1,H43+H58+SUM(H61:H62),0)</f>
        <v>1176826.5468016684</v>
      </c>
      <c r="I64" s="192">
        <f t="shared" ref="I64:R64" ca="1" si="9">IF(I40&lt;=$G$30+1,I43+I58+SUM(I61:I62),0)</f>
        <v>1217442.2495777018</v>
      </c>
      <c r="J64" s="192">
        <f t="shared" ca="1" si="9"/>
        <v>1259382.6415644558</v>
      </c>
      <c r="K64" s="192">
        <f t="shared" ca="1" si="9"/>
        <v>1302689.587800801</v>
      </c>
      <c r="L64" s="192">
        <f t="shared" ca="1" si="9"/>
        <v>1347406.2517640246</v>
      </c>
      <c r="M64" s="192">
        <f t="shared" ca="1" si="9"/>
        <v>1393577.1351727284</v>
      </c>
      <c r="N64" s="192">
        <f t="shared" ca="1" si="9"/>
        <v>1441248.1190008102</v>
      </c>
      <c r="O64" s="192">
        <f t="shared" ca="1" si="9"/>
        <v>1490466.505739192</v>
      </c>
      <c r="P64" s="192">
        <f t="shared" ca="1" si="9"/>
        <v>1541281.0629430921</v>
      </c>
      <c r="Q64" s="192">
        <f t="shared" si="9"/>
        <v>0</v>
      </c>
      <c r="R64" s="192">
        <f t="shared" si="9"/>
        <v>0</v>
      </c>
      <c r="S64" s="192"/>
    </row>
    <row r="65" spans="2:20"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</row>
    <row r="66" spans="2:20">
      <c r="B66" s="180" t="s">
        <v>65</v>
      </c>
      <c r="H66" s="192">
        <f t="shared" ref="H66:R66" si="10">IF(H40=$G$30,I64/$G$28,0)</f>
        <v>0</v>
      </c>
      <c r="I66" s="192">
        <f t="shared" si="10"/>
        <v>0</v>
      </c>
      <c r="J66" s="192">
        <f t="shared" si="10"/>
        <v>0</v>
      </c>
      <c r="K66" s="192">
        <f t="shared" si="10"/>
        <v>0</v>
      </c>
      <c r="L66" s="192">
        <f t="shared" si="10"/>
        <v>0</v>
      </c>
      <c r="M66" s="192">
        <f t="shared" si="10"/>
        <v>0</v>
      </c>
      <c r="N66" s="192">
        <f t="shared" si="10"/>
        <v>0</v>
      </c>
      <c r="O66" s="192">
        <f t="shared" ca="1" si="10"/>
        <v>28023292.053510766</v>
      </c>
      <c r="P66" s="192">
        <f t="shared" si="10"/>
        <v>0</v>
      </c>
      <c r="Q66" s="192">
        <f t="shared" si="10"/>
        <v>0</v>
      </c>
      <c r="R66" s="192">
        <f t="shared" si="10"/>
        <v>0</v>
      </c>
      <c r="S66" s="192"/>
    </row>
    <row r="67" spans="2:20">
      <c r="B67" s="180" t="s">
        <v>66</v>
      </c>
      <c r="H67" s="192">
        <f>-H66*$G$31</f>
        <v>0</v>
      </c>
      <c r="I67" s="192">
        <f t="shared" ref="I67:R67" si="11">-I66*$G$31</f>
        <v>0</v>
      </c>
      <c r="J67" s="192">
        <f t="shared" si="11"/>
        <v>0</v>
      </c>
      <c r="K67" s="192">
        <f t="shared" si="11"/>
        <v>0</v>
      </c>
      <c r="L67" s="192">
        <f t="shared" si="11"/>
        <v>0</v>
      </c>
      <c r="M67" s="192">
        <f t="shared" si="11"/>
        <v>0</v>
      </c>
      <c r="N67" s="192">
        <f t="shared" si="11"/>
        <v>0</v>
      </c>
      <c r="O67" s="192">
        <f t="shared" ca="1" si="11"/>
        <v>0</v>
      </c>
      <c r="P67" s="192">
        <f t="shared" si="11"/>
        <v>0</v>
      </c>
      <c r="Q67" s="192">
        <f t="shared" si="11"/>
        <v>0</v>
      </c>
      <c r="R67" s="192">
        <f t="shared" si="11"/>
        <v>0</v>
      </c>
      <c r="S67" s="192"/>
    </row>
    <row r="68" spans="2:20">
      <c r="B68" s="201" t="s">
        <v>67</v>
      </c>
      <c r="C68" s="201"/>
      <c r="D68" s="201"/>
      <c r="E68" s="201"/>
      <c r="F68" s="201"/>
      <c r="G68" s="202">
        <f ca="1">SUM(G64:G67)</f>
        <v>-21986369.653558951</v>
      </c>
      <c r="H68" s="202">
        <f t="shared" ref="H68:R68" ca="1" si="12">SUM(H64:H67)</f>
        <v>1176826.5468016684</v>
      </c>
      <c r="I68" s="202">
        <f t="shared" ca="1" si="12"/>
        <v>1217442.2495777018</v>
      </c>
      <c r="J68" s="202">
        <f t="shared" ca="1" si="12"/>
        <v>1259382.6415644558</v>
      </c>
      <c r="K68" s="202">
        <f t="shared" ca="1" si="12"/>
        <v>1302689.587800801</v>
      </c>
      <c r="L68" s="202">
        <f t="shared" ca="1" si="12"/>
        <v>1347406.2517640246</v>
      </c>
      <c r="M68" s="202">
        <f t="shared" ca="1" si="12"/>
        <v>1393577.1351727284</v>
      </c>
      <c r="N68" s="202">
        <f t="shared" ca="1" si="12"/>
        <v>1441248.1190008102</v>
      </c>
      <c r="O68" s="202">
        <f t="shared" ca="1" si="12"/>
        <v>29513758.55924996</v>
      </c>
      <c r="P68" s="202">
        <f t="shared" ca="1" si="12"/>
        <v>1541281.0629430921</v>
      </c>
      <c r="Q68" s="202">
        <f t="shared" si="12"/>
        <v>0</v>
      </c>
      <c r="R68" s="202">
        <f t="shared" si="12"/>
        <v>0</v>
      </c>
      <c r="S68" s="196"/>
    </row>
    <row r="69" spans="2:20" ht="16" thickBot="1"/>
    <row r="70" spans="2:20">
      <c r="B70" s="203" t="s">
        <v>68</v>
      </c>
      <c r="C70" s="204"/>
      <c r="D70" s="204"/>
      <c r="E70" s="204"/>
      <c r="F70" s="204"/>
      <c r="G70" s="205">
        <f ca="1">SUM(G68:R68)</f>
        <v>18207242.500316292</v>
      </c>
    </row>
    <row r="71" spans="2:20">
      <c r="B71" s="206" t="s">
        <v>69</v>
      </c>
      <c r="G71" s="207">
        <f ca="1">NPV($R$26,H68:R68)</f>
        <v>24200011.122296646</v>
      </c>
    </row>
    <row r="72" spans="2:20">
      <c r="B72" s="206" t="s">
        <v>70</v>
      </c>
      <c r="G72" s="207">
        <f ca="1">G71+G68</f>
        <v>2213641.4687376954</v>
      </c>
    </row>
    <row r="73" spans="2:20">
      <c r="B73" s="206" t="s">
        <v>71</v>
      </c>
      <c r="G73" s="208">
        <f ca="1">IRR(G68:R68)</f>
        <v>9.0218941431960742E-2</v>
      </c>
    </row>
    <row r="74" spans="2:20" ht="16" thickBot="1">
      <c r="B74" s="209" t="s">
        <v>72</v>
      </c>
      <c r="C74" s="210"/>
      <c r="D74" s="210"/>
      <c r="E74" s="210"/>
      <c r="F74" s="210"/>
      <c r="G74" s="211">
        <f ca="1">(G70/-G68)+1</f>
        <v>1.8281149997570914</v>
      </c>
    </row>
    <row r="76" spans="2:20">
      <c r="B76" s="180" t="s">
        <v>73</v>
      </c>
      <c r="G76" s="192">
        <f ca="1">G37</f>
        <v>14291140.274813319</v>
      </c>
    </row>
    <row r="77" spans="2:20">
      <c r="B77" s="180" t="s">
        <v>74</v>
      </c>
      <c r="H77" s="192">
        <f t="shared" ref="H77:R77" si="13">IF(H40=$G$30,FV($G$35/12,H40*12,$G$38,$G$37),0)</f>
        <v>0</v>
      </c>
      <c r="I77" s="192">
        <f t="shared" si="13"/>
        <v>0</v>
      </c>
      <c r="J77" s="192">
        <f t="shared" si="13"/>
        <v>0</v>
      </c>
      <c r="K77" s="192">
        <f t="shared" si="13"/>
        <v>0</v>
      </c>
      <c r="L77" s="192">
        <f t="shared" si="13"/>
        <v>0</v>
      </c>
      <c r="M77" s="192">
        <f t="shared" si="13"/>
        <v>0</v>
      </c>
      <c r="N77" s="192">
        <f t="shared" si="13"/>
        <v>0</v>
      </c>
      <c r="O77" s="192">
        <f t="shared" ca="1" si="13"/>
        <v>-12269357.494995857</v>
      </c>
      <c r="P77" s="192">
        <f t="shared" si="13"/>
        <v>0</v>
      </c>
      <c r="Q77" s="192">
        <f t="shared" si="13"/>
        <v>0</v>
      </c>
      <c r="R77" s="192">
        <f t="shared" si="13"/>
        <v>0</v>
      </c>
      <c r="S77" s="192"/>
      <c r="T77" s="192"/>
    </row>
    <row r="78" spans="2:20">
      <c r="B78" s="180" t="s">
        <v>75</v>
      </c>
      <c r="H78" s="192">
        <f ca="1">IF(H40&lt;=$G$30,$G$38*12,0)</f>
        <v>-920615.17404233199</v>
      </c>
      <c r="I78" s="192">
        <f t="shared" ref="I78:R78" ca="1" si="14">IF(I40&lt;=$G$30,$G$38*12,0)</f>
        <v>-920615.17404233199</v>
      </c>
      <c r="J78" s="192">
        <f t="shared" ca="1" si="14"/>
        <v>-920615.17404233199</v>
      </c>
      <c r="K78" s="192">
        <f t="shared" ca="1" si="14"/>
        <v>-920615.17404233199</v>
      </c>
      <c r="L78" s="192">
        <f t="shared" ca="1" si="14"/>
        <v>-920615.17404233199</v>
      </c>
      <c r="M78" s="192">
        <f t="shared" ca="1" si="14"/>
        <v>-920615.17404233199</v>
      </c>
      <c r="N78" s="192">
        <f t="shared" ca="1" si="14"/>
        <v>-920615.17404233199</v>
      </c>
      <c r="O78" s="192">
        <f t="shared" ca="1" si="14"/>
        <v>-920615.17404233199</v>
      </c>
      <c r="P78" s="192">
        <f t="shared" si="14"/>
        <v>0</v>
      </c>
      <c r="Q78" s="192">
        <f t="shared" si="14"/>
        <v>0</v>
      </c>
      <c r="R78" s="192">
        <f t="shared" si="14"/>
        <v>0</v>
      </c>
      <c r="S78" s="192"/>
      <c r="T78" s="192"/>
    </row>
    <row r="79" spans="2:20">
      <c r="B79" s="325" t="s">
        <v>438</v>
      </c>
      <c r="H79" s="219">
        <f ca="1">SUM(H77:H78)</f>
        <v>-920615.17404233199</v>
      </c>
      <c r="I79" s="219">
        <f t="shared" ref="I79:Q79" ca="1" si="15">SUM(I77:I78)</f>
        <v>-920615.17404233199</v>
      </c>
      <c r="J79" s="219">
        <f t="shared" ca="1" si="15"/>
        <v>-920615.17404233199</v>
      </c>
      <c r="K79" s="219">
        <f t="shared" ca="1" si="15"/>
        <v>-920615.17404233199</v>
      </c>
      <c r="L79" s="219">
        <f t="shared" ca="1" si="15"/>
        <v>-920615.17404233199</v>
      </c>
      <c r="M79" s="219">
        <f t="shared" ca="1" si="15"/>
        <v>-920615.17404233199</v>
      </c>
      <c r="N79" s="219">
        <f t="shared" ca="1" si="15"/>
        <v>-920615.17404233199</v>
      </c>
      <c r="O79" s="219">
        <f t="shared" ca="1" si="15"/>
        <v>-13189972.669038188</v>
      </c>
      <c r="P79" s="219">
        <f t="shared" si="15"/>
        <v>0</v>
      </c>
      <c r="Q79" s="219">
        <f t="shared" si="15"/>
        <v>0</v>
      </c>
    </row>
    <row r="80" spans="2:20">
      <c r="B80" s="212" t="s">
        <v>76</v>
      </c>
      <c r="C80" s="212"/>
      <c r="D80" s="212"/>
      <c r="E80" s="212"/>
      <c r="F80" s="212"/>
      <c r="G80" s="213">
        <f t="shared" ref="G80:R80" ca="1" si="16">IF(G40&lt;=$G$30,SUM(G68,G76:G78),0)</f>
        <v>-7695229.3787456322</v>
      </c>
      <c r="H80" s="213">
        <f t="shared" ca="1" si="16"/>
        <v>256211.37275933637</v>
      </c>
      <c r="I80" s="213">
        <f t="shared" ca="1" si="16"/>
        <v>296827.0755353698</v>
      </c>
      <c r="J80" s="213">
        <f t="shared" ca="1" si="16"/>
        <v>338767.46752212383</v>
      </c>
      <c r="K80" s="213">
        <f t="shared" ca="1" si="16"/>
        <v>382074.41375846905</v>
      </c>
      <c r="L80" s="213">
        <f t="shared" ca="1" si="16"/>
        <v>426791.07772169262</v>
      </c>
      <c r="M80" s="213">
        <f t="shared" ca="1" si="16"/>
        <v>472961.96113039646</v>
      </c>
      <c r="N80" s="213">
        <f t="shared" ca="1" si="16"/>
        <v>520632.94495847821</v>
      </c>
      <c r="O80" s="213">
        <f t="shared" ca="1" si="16"/>
        <v>16323785.890211772</v>
      </c>
      <c r="P80" s="213">
        <f t="shared" si="16"/>
        <v>0</v>
      </c>
      <c r="Q80" s="213">
        <f t="shared" si="16"/>
        <v>0</v>
      </c>
      <c r="R80" s="213">
        <f t="shared" si="16"/>
        <v>0</v>
      </c>
      <c r="S80" s="192"/>
      <c r="T80" s="192"/>
    </row>
    <row r="81" spans="1:20" ht="16" thickBot="1"/>
    <row r="82" spans="1:20">
      <c r="B82" s="203" t="s">
        <v>68</v>
      </c>
      <c r="C82" s="204"/>
      <c r="D82" s="204"/>
      <c r="E82" s="204"/>
      <c r="F82" s="204"/>
      <c r="G82" s="205">
        <f ca="1">SUM(G80:R80)</f>
        <v>11322822.824852007</v>
      </c>
    </row>
    <row r="83" spans="1:20">
      <c r="B83" s="206" t="s">
        <v>69</v>
      </c>
      <c r="G83" s="207">
        <f ca="1">NPV($R$26,H80:R80)</f>
        <v>11124325.711509213</v>
      </c>
    </row>
    <row r="84" spans="1:20">
      <c r="B84" s="206" t="s">
        <v>70</v>
      </c>
      <c r="G84" s="207">
        <f ca="1">G83+G80</f>
        <v>3429096.3327635806</v>
      </c>
    </row>
    <row r="85" spans="1:20">
      <c r="B85" s="206" t="s">
        <v>77</v>
      </c>
      <c r="G85" s="214">
        <f ca="1">IRR(G80:R80)</f>
        <v>0.13109440434386643</v>
      </c>
    </row>
    <row r="86" spans="1:20" ht="16" thickBot="1">
      <c r="B86" s="209" t="s">
        <v>72</v>
      </c>
      <c r="C86" s="210"/>
      <c r="D86" s="210"/>
      <c r="E86" s="210"/>
      <c r="F86" s="210"/>
      <c r="G86" s="211">
        <f ca="1">(G82/-G80)+1</f>
        <v>2.4714080981297135</v>
      </c>
    </row>
    <row r="88" spans="1:20">
      <c r="A88" s="40"/>
      <c r="B88" s="5" t="s">
        <v>143</v>
      </c>
      <c r="C88" s="5"/>
      <c r="D88" s="5"/>
      <c r="E88" s="5"/>
      <c r="F88" s="5"/>
      <c r="G88" s="5"/>
      <c r="H88" s="27">
        <f t="shared" ref="H88:R88" si="17">H40</f>
        <v>1</v>
      </c>
      <c r="I88" s="27">
        <f t="shared" si="17"/>
        <v>2</v>
      </c>
      <c r="J88" s="27">
        <f t="shared" si="17"/>
        <v>3</v>
      </c>
      <c r="K88" s="27">
        <f t="shared" si="17"/>
        <v>4</v>
      </c>
      <c r="L88" s="27">
        <f t="shared" si="17"/>
        <v>5</v>
      </c>
      <c r="M88" s="27">
        <f t="shared" si="17"/>
        <v>6</v>
      </c>
      <c r="N88" s="27">
        <f t="shared" si="17"/>
        <v>7</v>
      </c>
      <c r="O88" s="27">
        <f t="shared" si="17"/>
        <v>8</v>
      </c>
      <c r="P88" s="27">
        <f t="shared" si="17"/>
        <v>9</v>
      </c>
      <c r="Q88" s="27">
        <f t="shared" si="17"/>
        <v>10</v>
      </c>
      <c r="R88" s="27">
        <f t="shared" si="17"/>
        <v>11</v>
      </c>
      <c r="S88" s="27"/>
      <c r="T88" s="27"/>
    </row>
    <row r="89" spans="1:20">
      <c r="B89" s="180" t="s">
        <v>144</v>
      </c>
      <c r="H89" s="193">
        <f t="shared" ref="H89:R89" ca="1" si="18">H45/$G$17</f>
        <v>24</v>
      </c>
      <c r="I89" s="193">
        <f t="shared" ca="1" si="18"/>
        <v>24.720000000000002</v>
      </c>
      <c r="J89" s="193">
        <f t="shared" ca="1" si="18"/>
        <v>25.461600000000001</v>
      </c>
      <c r="K89" s="193">
        <f t="shared" ca="1" si="18"/>
        <v>26.225448000000004</v>
      </c>
      <c r="L89" s="193">
        <f t="shared" ca="1" si="18"/>
        <v>27.012211439999998</v>
      </c>
      <c r="M89" s="193">
        <f t="shared" ca="1" si="18"/>
        <v>27.822577783199996</v>
      </c>
      <c r="N89" s="193">
        <f t="shared" ca="1" si="18"/>
        <v>28.657255116696</v>
      </c>
      <c r="O89" s="193">
        <f t="shared" ca="1" si="18"/>
        <v>29.516972770196883</v>
      </c>
      <c r="P89" s="193">
        <f t="shared" ca="1" si="18"/>
        <v>30.402481953302786</v>
      </c>
      <c r="Q89" s="193">
        <f t="shared" ca="1" si="18"/>
        <v>31.314556411901869</v>
      </c>
      <c r="R89" s="193">
        <f t="shared" ca="1" si="18"/>
        <v>32.253993104258925</v>
      </c>
      <c r="S89" s="193"/>
      <c r="T89" s="193"/>
    </row>
    <row r="90" spans="1:20">
      <c r="B90" s="180" t="s">
        <v>128</v>
      </c>
      <c r="H90" s="193">
        <f ca="1">H47/$G$17</f>
        <v>0</v>
      </c>
      <c r="I90" s="193">
        <f t="shared" ref="I90:R90" ca="1" si="19">I47/$G$17</f>
        <v>0</v>
      </c>
      <c r="J90" s="193">
        <f t="shared" ca="1" si="19"/>
        <v>0</v>
      </c>
      <c r="K90" s="193">
        <f t="shared" ca="1" si="19"/>
        <v>0</v>
      </c>
      <c r="L90" s="193">
        <f t="shared" ca="1" si="19"/>
        <v>0</v>
      </c>
      <c r="M90" s="193">
        <f t="shared" ca="1" si="19"/>
        <v>0</v>
      </c>
      <c r="N90" s="193">
        <f t="shared" ca="1" si="19"/>
        <v>0</v>
      </c>
      <c r="O90" s="193">
        <f t="shared" ca="1" si="19"/>
        <v>0</v>
      </c>
      <c r="P90" s="193">
        <f t="shared" ca="1" si="19"/>
        <v>0</v>
      </c>
      <c r="Q90" s="193">
        <f t="shared" ca="1" si="19"/>
        <v>0</v>
      </c>
      <c r="R90" s="193">
        <f t="shared" ca="1" si="19"/>
        <v>0</v>
      </c>
      <c r="S90" s="193"/>
      <c r="T90" s="193"/>
    </row>
    <row r="91" spans="1:20">
      <c r="B91" s="180" t="s">
        <v>37</v>
      </c>
      <c r="H91" s="193">
        <f ca="1">H89-H90</f>
        <v>24</v>
      </c>
      <c r="I91" s="193">
        <f t="shared" ref="I91:R91" ca="1" si="20">I89-I90</f>
        <v>24.720000000000002</v>
      </c>
      <c r="J91" s="193">
        <f t="shared" ca="1" si="20"/>
        <v>25.461600000000001</v>
      </c>
      <c r="K91" s="193">
        <f t="shared" ca="1" si="20"/>
        <v>26.225448000000004</v>
      </c>
      <c r="L91" s="193">
        <f t="shared" ca="1" si="20"/>
        <v>27.012211439999998</v>
      </c>
      <c r="M91" s="193">
        <f t="shared" ca="1" si="20"/>
        <v>27.822577783199996</v>
      </c>
      <c r="N91" s="193">
        <f t="shared" ca="1" si="20"/>
        <v>28.657255116696</v>
      </c>
      <c r="O91" s="193">
        <f t="shared" ca="1" si="20"/>
        <v>29.516972770196883</v>
      </c>
      <c r="P91" s="193">
        <f t="shared" ca="1" si="20"/>
        <v>30.402481953302786</v>
      </c>
      <c r="Q91" s="193">
        <f t="shared" ca="1" si="20"/>
        <v>31.314556411901869</v>
      </c>
      <c r="R91" s="193">
        <f t="shared" ca="1" si="20"/>
        <v>32.253993104258925</v>
      </c>
      <c r="S91" s="193"/>
      <c r="T91" s="193"/>
    </row>
    <row r="92" spans="1:20">
      <c r="B92" s="180" t="s">
        <v>145</v>
      </c>
      <c r="H92" s="199">
        <f>$G$26</f>
        <v>0.06</v>
      </c>
      <c r="I92" s="199">
        <f t="shared" ref="I92:R92" si="21">$G$26</f>
        <v>0.06</v>
      </c>
      <c r="J92" s="199">
        <f t="shared" si="21"/>
        <v>0.06</v>
      </c>
      <c r="K92" s="199">
        <f t="shared" si="21"/>
        <v>0.06</v>
      </c>
      <c r="L92" s="199">
        <f t="shared" si="21"/>
        <v>0.06</v>
      </c>
      <c r="M92" s="199">
        <f t="shared" si="21"/>
        <v>0.06</v>
      </c>
      <c r="N92" s="199">
        <f t="shared" si="21"/>
        <v>0.06</v>
      </c>
      <c r="O92" s="199">
        <f t="shared" si="21"/>
        <v>0.06</v>
      </c>
      <c r="P92" s="199">
        <f t="shared" si="21"/>
        <v>0.06</v>
      </c>
      <c r="Q92" s="199">
        <f t="shared" si="21"/>
        <v>0.06</v>
      </c>
      <c r="R92" s="199">
        <f t="shared" si="21"/>
        <v>0.06</v>
      </c>
      <c r="S92" s="199"/>
      <c r="T92" s="199"/>
    </row>
    <row r="93" spans="1:20">
      <c r="B93" s="180" t="s">
        <v>104</v>
      </c>
      <c r="H93" s="193">
        <f ca="1">H91*H92</f>
        <v>1.44</v>
      </c>
      <c r="I93" s="193">
        <f t="shared" ref="I93:R93" ca="1" si="22">I91*I92</f>
        <v>1.4832000000000001</v>
      </c>
      <c r="J93" s="193">
        <f t="shared" ca="1" si="22"/>
        <v>1.5276959999999999</v>
      </c>
      <c r="K93" s="193">
        <f t="shared" ca="1" si="22"/>
        <v>1.5735268800000002</v>
      </c>
      <c r="L93" s="193">
        <f t="shared" ca="1" si="22"/>
        <v>1.6207326863999998</v>
      </c>
      <c r="M93" s="193">
        <f t="shared" ca="1" si="22"/>
        <v>1.6693546669919996</v>
      </c>
      <c r="N93" s="193">
        <f t="shared" ca="1" si="22"/>
        <v>1.7194353070017598</v>
      </c>
      <c r="O93" s="193">
        <f t="shared" ca="1" si="22"/>
        <v>1.7710183662118129</v>
      </c>
      <c r="P93" s="193">
        <f t="shared" ca="1" si="22"/>
        <v>1.8241489171981671</v>
      </c>
      <c r="Q93" s="193">
        <f t="shared" ca="1" si="22"/>
        <v>1.8788733847141121</v>
      </c>
      <c r="R93" s="193">
        <f t="shared" ca="1" si="22"/>
        <v>1.9352395862555354</v>
      </c>
      <c r="S93" s="193"/>
      <c r="T93" s="193"/>
    </row>
    <row r="95" spans="1:20">
      <c r="A95" s="215"/>
      <c r="B95" s="215"/>
      <c r="C95" s="215"/>
      <c r="D95" s="215"/>
      <c r="E95" s="215"/>
      <c r="F95" s="215"/>
      <c r="G95" s="215"/>
      <c r="H95" s="215"/>
      <c r="I95" s="215"/>
      <c r="J95" s="215"/>
      <c r="K95" s="215"/>
      <c r="L95" s="5"/>
      <c r="M95" s="5"/>
      <c r="N95" s="5"/>
      <c r="O95" s="5"/>
      <c r="P95" s="7"/>
      <c r="Q95" s="5"/>
      <c r="R95" s="5"/>
      <c r="S95" s="5"/>
      <c r="T95" s="5"/>
    </row>
    <row r="96" spans="1:20">
      <c r="A96" s="215"/>
      <c r="B96" s="215"/>
      <c r="C96" s="215"/>
      <c r="D96" s="215"/>
      <c r="E96" s="215"/>
      <c r="F96" s="215"/>
      <c r="G96" s="215"/>
      <c r="H96" s="215"/>
      <c r="I96" s="215"/>
      <c r="J96" s="215"/>
      <c r="K96" s="215"/>
    </row>
    <row r="97" spans="1:11">
      <c r="A97" s="215"/>
      <c r="B97" s="215"/>
      <c r="C97" s="215"/>
      <c r="D97" s="215"/>
      <c r="E97" s="215"/>
      <c r="F97" s="215"/>
      <c r="G97" s="215"/>
      <c r="H97" s="215"/>
      <c r="I97" s="215"/>
      <c r="J97" s="215"/>
      <c r="K97" s="215"/>
    </row>
    <row r="98" spans="1:11">
      <c r="A98" s="215"/>
      <c r="B98" s="215"/>
      <c r="C98" s="215"/>
      <c r="D98" s="215"/>
      <c r="E98" s="215"/>
      <c r="F98" s="215"/>
      <c r="G98" s="215"/>
      <c r="H98" s="215"/>
      <c r="I98" s="215"/>
      <c r="J98" s="215"/>
      <c r="K98" s="215"/>
    </row>
    <row r="99" spans="1:11">
      <c r="A99" s="215"/>
      <c r="B99" s="215"/>
      <c r="C99" s="215"/>
      <c r="D99" s="215"/>
      <c r="E99" s="215"/>
      <c r="F99" s="215"/>
      <c r="G99" s="215"/>
      <c r="H99" s="215"/>
      <c r="I99" s="215"/>
      <c r="J99" s="215"/>
      <c r="K99" s="215"/>
    </row>
    <row r="100" spans="1:11">
      <c r="A100" s="215"/>
      <c r="B100" s="215"/>
      <c r="C100" s="215"/>
      <c r="D100" s="215"/>
      <c r="E100" s="215"/>
      <c r="F100" s="215"/>
      <c r="G100" s="215"/>
      <c r="H100" s="215"/>
      <c r="I100" s="215"/>
      <c r="J100" s="215"/>
      <c r="K100" s="215"/>
    </row>
    <row r="101" spans="1:11">
      <c r="A101" s="215"/>
      <c r="B101" s="215"/>
      <c r="C101" s="215"/>
      <c r="D101" s="215"/>
      <c r="E101" s="215"/>
      <c r="F101" s="215"/>
      <c r="G101" s="215"/>
      <c r="H101" s="215"/>
      <c r="I101" s="215"/>
      <c r="J101" s="215"/>
      <c r="K101" s="215"/>
    </row>
    <row r="102" spans="1:11">
      <c r="A102" s="215"/>
      <c r="B102" s="215"/>
      <c r="C102" s="215"/>
      <c r="D102" s="215"/>
      <c r="E102" s="215"/>
      <c r="F102" s="215"/>
      <c r="G102" s="215"/>
      <c r="H102" s="215"/>
      <c r="I102" s="215"/>
      <c r="J102" s="215"/>
      <c r="K102" s="215"/>
    </row>
    <row r="103" spans="1:11">
      <c r="A103" s="215"/>
      <c r="B103" s="215"/>
      <c r="C103" s="215"/>
      <c r="D103" s="215"/>
      <c r="E103" s="215"/>
      <c r="F103" s="215"/>
      <c r="G103" s="215"/>
      <c r="H103" s="215"/>
      <c r="I103" s="215"/>
      <c r="J103" s="215"/>
      <c r="K103" s="215"/>
    </row>
    <row r="104" spans="1:11">
      <c r="A104" s="215"/>
      <c r="B104" s="215"/>
      <c r="C104" s="215"/>
      <c r="D104" s="215"/>
      <c r="E104" s="215"/>
      <c r="F104" s="215"/>
      <c r="G104" s="215"/>
      <c r="H104" s="215"/>
      <c r="I104" s="215"/>
      <c r="J104" s="215"/>
      <c r="K104" s="215"/>
    </row>
    <row r="105" spans="1:11">
      <c r="A105" s="215"/>
      <c r="B105" s="215"/>
      <c r="C105" s="215"/>
      <c r="D105" s="215"/>
      <c r="E105" s="215"/>
      <c r="F105" s="215"/>
      <c r="G105" s="215"/>
      <c r="H105" s="215"/>
      <c r="I105" s="215"/>
      <c r="J105" s="215"/>
      <c r="K105" s="215"/>
    </row>
    <row r="106" spans="1:11">
      <c r="A106" s="215"/>
      <c r="B106" s="215"/>
      <c r="C106" s="215"/>
      <c r="D106" s="215"/>
      <c r="E106" s="215"/>
      <c r="F106" s="215"/>
      <c r="G106" s="215"/>
      <c r="H106" s="215"/>
      <c r="I106" s="215"/>
      <c r="J106" s="215"/>
      <c r="K106" s="215"/>
    </row>
    <row r="107" spans="1:11">
      <c r="A107" s="215"/>
      <c r="B107" s="215"/>
      <c r="C107" s="215"/>
      <c r="D107" s="215"/>
      <c r="E107" s="215"/>
      <c r="F107" s="215"/>
      <c r="G107" s="215"/>
      <c r="H107" s="215"/>
      <c r="I107" s="215"/>
      <c r="J107" s="215"/>
      <c r="K107" s="215"/>
    </row>
  </sheetData>
  <pageMargins left="0.7" right="0.7" top="0.75" bottom="0.75" header="0.3" footer="0.3"/>
  <pageSetup scale="46" orientation="portrait" r:id="rId1"/>
  <headerFooter>
    <oddHeader xml:space="preserve">&amp;L2019 ULI Hines Student Competition&amp;R2019-331 &amp;A 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8D4B8-9431-4726-A155-D18F70BAD371}">
  <sheetPr>
    <tabColor theme="9"/>
  </sheetPr>
  <dimension ref="A3:R103"/>
  <sheetViews>
    <sheetView showGridLines="0" view="pageBreakPreview" zoomScale="80" zoomScaleNormal="100" zoomScaleSheetLayoutView="80" workbookViewId="0">
      <selection activeCell="G35" sqref="G35"/>
    </sheetView>
  </sheetViews>
  <sheetFormatPr baseColWidth="10" defaultColWidth="8.83203125" defaultRowHeight="15"/>
  <cols>
    <col min="1" max="1" width="3.5" style="3" customWidth="1"/>
    <col min="2" max="2" width="1.6640625" style="3" customWidth="1"/>
    <col min="3" max="3" width="3.5" style="3" customWidth="1"/>
    <col min="4" max="4" width="1.6640625" style="3" customWidth="1"/>
    <col min="5" max="5" width="18.1640625" style="3" customWidth="1"/>
    <col min="6" max="6" width="8.83203125" style="3" customWidth="1"/>
    <col min="7" max="7" width="16.33203125" style="3" customWidth="1"/>
    <col min="8" max="15" width="14.5" style="3" customWidth="1"/>
    <col min="16" max="16" width="14.5" style="44" customWidth="1"/>
    <col min="17" max="18" width="14.5" style="3" customWidth="1"/>
    <col min="22" max="22" width="14.1640625" bestFit="1" customWidth="1"/>
  </cols>
  <sheetData>
    <row r="3" spans="2:18">
      <c r="D3" s="181" t="s">
        <v>41</v>
      </c>
      <c r="E3" s="181"/>
      <c r="F3" s="182" t="s">
        <v>425</v>
      </c>
      <c r="G3" s="182" t="s">
        <v>310</v>
      </c>
    </row>
    <row r="4" spans="2:18">
      <c r="D4" s="185" t="s">
        <v>186</v>
      </c>
      <c r="E4" s="185"/>
      <c r="F4" s="186"/>
      <c r="G4" s="186">
        <f>Assumptions!U20</f>
        <v>1688800</v>
      </c>
    </row>
    <row r="5" spans="2:18">
      <c r="D5" s="185" t="s">
        <v>422</v>
      </c>
      <c r="E5" s="185"/>
      <c r="F5" s="186">
        <f>Assumptions!E68</f>
        <v>224.06215820140798</v>
      </c>
      <c r="G5" s="186">
        <f ca="1">F5*$G$17</f>
        <v>19420587.562107038</v>
      </c>
    </row>
    <row r="6" spans="2:18">
      <c r="D6" s="185" t="s">
        <v>423</v>
      </c>
      <c r="E6" s="185"/>
      <c r="F6" s="186">
        <f>Assumptions!G68</f>
        <v>33.609323730211194</v>
      </c>
      <c r="G6" s="186">
        <f ca="1">F6*$G$17</f>
        <v>2913088.1343160551</v>
      </c>
    </row>
    <row r="7" spans="2:18">
      <c r="D7" s="185" t="s">
        <v>187</v>
      </c>
      <c r="E7" s="185"/>
      <c r="F7" s="186"/>
      <c r="G7" s="186">
        <f ca="1">Assumptions!V20</f>
        <v>545094.55129965022</v>
      </c>
    </row>
    <row r="8" spans="2:18">
      <c r="D8" s="185" t="s">
        <v>424</v>
      </c>
      <c r="E8" s="185"/>
      <c r="F8" s="186">
        <f>Assumptions!E71</f>
        <v>12000</v>
      </c>
      <c r="G8" s="186">
        <f ca="1">F8*Assumptions!T20</f>
        <v>925422.22222222236</v>
      </c>
    </row>
    <row r="9" spans="2:18">
      <c r="D9" s="185"/>
      <c r="E9" s="185"/>
      <c r="F9" s="188"/>
      <c r="G9" s="186"/>
    </row>
    <row r="10" spans="2:18">
      <c r="D10" s="185"/>
      <c r="E10" s="185"/>
      <c r="F10" s="187"/>
      <c r="G10" s="187"/>
    </row>
    <row r="11" spans="2:18">
      <c r="D11" s="185"/>
      <c r="E11" s="185"/>
      <c r="F11" s="187"/>
      <c r="G11" s="187"/>
    </row>
    <row r="12" spans="2:18">
      <c r="D12" s="304" t="s">
        <v>426</v>
      </c>
      <c r="E12" s="304"/>
      <c r="F12" s="305">
        <f ca="1">G12/G20</f>
        <v>147358.33797656049</v>
      </c>
      <c r="G12" s="305">
        <f ca="1">G4+G5+G6+G7+G8+G9</f>
        <v>25492992.469944965</v>
      </c>
    </row>
    <row r="13" spans="2:18">
      <c r="B13" s="1"/>
    </row>
    <row r="14" spans="2:18" ht="16">
      <c r="B14" s="2" t="s">
        <v>151</v>
      </c>
    </row>
    <row r="16" spans="2:18">
      <c r="B16" s="58" t="s">
        <v>2</v>
      </c>
      <c r="C16" s="58"/>
      <c r="D16" s="58"/>
      <c r="E16" s="58"/>
      <c r="F16" s="58"/>
      <c r="G16" s="58"/>
      <c r="H16" s="58"/>
      <c r="I16" s="6"/>
      <c r="J16" s="58" t="s">
        <v>41</v>
      </c>
      <c r="K16" s="58"/>
      <c r="L16" s="58"/>
      <c r="M16" s="6"/>
      <c r="N16" s="58" t="s">
        <v>152</v>
      </c>
      <c r="O16" s="58"/>
      <c r="P16" s="58"/>
      <c r="Q16" s="58"/>
      <c r="R16" s="58"/>
    </row>
    <row r="17" spans="2:18">
      <c r="B17" s="3" t="s">
        <v>14</v>
      </c>
      <c r="G17" s="404">
        <f ca="1">Assumptions!P20</f>
        <v>86675</v>
      </c>
      <c r="J17" s="3" t="s">
        <v>105</v>
      </c>
      <c r="L17" s="405">
        <v>46000000</v>
      </c>
      <c r="M17" s="8"/>
      <c r="N17" s="3" t="s">
        <v>153</v>
      </c>
      <c r="P17" s="3"/>
      <c r="Q17" s="44"/>
      <c r="R17" s="47">
        <f ca="1">H50/H44</f>
        <v>289.81851857500004</v>
      </c>
    </row>
    <row r="18" spans="2:18">
      <c r="J18" s="10" t="s">
        <v>44</v>
      </c>
      <c r="K18" s="274">
        <v>0.01</v>
      </c>
      <c r="L18" s="8">
        <f>K18*L17</f>
        <v>460000</v>
      </c>
      <c r="M18" s="8"/>
      <c r="N18" s="48" t="s">
        <v>154</v>
      </c>
      <c r="P18" s="3"/>
      <c r="Q18" s="21">
        <v>0.1</v>
      </c>
      <c r="R18" s="326">
        <f ca="1">R17*Q18</f>
        <v>28.981851857500004</v>
      </c>
    </row>
    <row r="19" spans="2:18">
      <c r="B19" s="58" t="s">
        <v>155</v>
      </c>
      <c r="C19" s="58"/>
      <c r="D19" s="58"/>
      <c r="E19" s="58"/>
      <c r="F19" s="58"/>
      <c r="G19" s="58"/>
      <c r="H19" s="58"/>
      <c r="I19" s="6"/>
      <c r="J19" s="15" t="s">
        <v>45</v>
      </c>
      <c r="K19" s="12"/>
      <c r="L19" s="13">
        <f>SUM(L17:L18)</f>
        <v>46460000</v>
      </c>
      <c r="N19" s="48" t="s">
        <v>156</v>
      </c>
      <c r="P19" s="3"/>
      <c r="Q19" s="21">
        <v>0.03</v>
      </c>
      <c r="R19" s="326">
        <f ca="1">R17*Q19</f>
        <v>8.6945555572500002</v>
      </c>
    </row>
    <row r="20" spans="2:18">
      <c r="B20" s="3" t="s">
        <v>157</v>
      </c>
      <c r="G20" s="49">
        <f ca="1">ROUNDDOWN(G17/G21,0)</f>
        <v>173</v>
      </c>
      <c r="J20" s="44"/>
      <c r="M20" s="8"/>
      <c r="N20" s="48"/>
      <c r="P20" s="3"/>
      <c r="Q20" s="44"/>
      <c r="R20" s="327"/>
    </row>
    <row r="21" spans="2:18">
      <c r="B21" s="3" t="s">
        <v>158</v>
      </c>
      <c r="G21" s="50">
        <v>500</v>
      </c>
      <c r="J21" s="58" t="s">
        <v>32</v>
      </c>
      <c r="K21" s="58"/>
      <c r="L21" s="58"/>
      <c r="M21" s="8"/>
      <c r="N21" s="48" t="s">
        <v>159</v>
      </c>
      <c r="P21" s="3"/>
      <c r="Q21" s="21">
        <v>0.6</v>
      </c>
      <c r="R21" s="326">
        <f t="shared" ref="R21:R23" ca="1" si="0">R17*Q21</f>
        <v>173.89111114500002</v>
      </c>
    </row>
    <row r="22" spans="2:18">
      <c r="B22" s="3" t="s">
        <v>160</v>
      </c>
      <c r="G22" s="398">
        <f>Assumptions!S72</f>
        <v>289.81851857500004</v>
      </c>
      <c r="H22" s="41" t="s">
        <v>437</v>
      </c>
      <c r="J22" s="10" t="s">
        <v>7</v>
      </c>
      <c r="L22" s="8">
        <f>G37</f>
        <v>30199000</v>
      </c>
      <c r="M22" s="8"/>
      <c r="N22" s="48" t="s">
        <v>161</v>
      </c>
      <c r="P22" s="3"/>
      <c r="Q22" s="274">
        <v>0.9</v>
      </c>
      <c r="R22" s="326">
        <f t="shared" ca="1" si="0"/>
        <v>26.083666671750006</v>
      </c>
    </row>
    <row r="23" spans="2:18">
      <c r="B23" s="3" t="s">
        <v>162</v>
      </c>
      <c r="G23" s="19">
        <v>0.03</v>
      </c>
      <c r="H23" s="3" t="s">
        <v>113</v>
      </c>
      <c r="J23" s="10" t="s">
        <v>34</v>
      </c>
      <c r="L23" s="8">
        <f>L24-L22</f>
        <v>16261000</v>
      </c>
      <c r="M23" s="8"/>
      <c r="N23" s="48" t="s">
        <v>163</v>
      </c>
      <c r="P23" s="3"/>
      <c r="Q23" s="274">
        <v>0.1</v>
      </c>
      <c r="R23" s="326">
        <f t="shared" ca="1" si="0"/>
        <v>0.86945555572500011</v>
      </c>
    </row>
    <row r="24" spans="2:18">
      <c r="B24" s="3" t="s">
        <v>164</v>
      </c>
      <c r="G24" s="19">
        <v>0.7</v>
      </c>
      <c r="J24" s="15" t="s">
        <v>120</v>
      </c>
      <c r="K24" s="12"/>
      <c r="L24" s="13">
        <f>L19</f>
        <v>46460000</v>
      </c>
      <c r="M24" s="8"/>
      <c r="N24" s="20"/>
      <c r="P24" s="3"/>
      <c r="Q24" s="44"/>
    </row>
    <row r="25" spans="2:18">
      <c r="B25" s="3" t="s">
        <v>63</v>
      </c>
      <c r="G25" s="19">
        <v>0.03</v>
      </c>
      <c r="J25" s="44"/>
      <c r="N25" s="58" t="s">
        <v>165</v>
      </c>
      <c r="O25" s="58"/>
      <c r="P25" s="58"/>
      <c r="Q25" s="58"/>
      <c r="R25" s="58"/>
    </row>
    <row r="26" spans="2:18">
      <c r="B26" s="3" t="s">
        <v>166</v>
      </c>
      <c r="G26" s="50">
        <v>365</v>
      </c>
      <c r="J26" s="3" t="s">
        <v>124</v>
      </c>
      <c r="L26" s="19">
        <v>0.08</v>
      </c>
      <c r="M26" s="8"/>
      <c r="N26" s="3" t="s">
        <v>167</v>
      </c>
      <c r="P26" s="3"/>
      <c r="Q26" s="44"/>
      <c r="R26" s="47">
        <v>35</v>
      </c>
    </row>
    <row r="27" spans="2:18">
      <c r="B27" s="3" t="s">
        <v>115</v>
      </c>
      <c r="G27" s="19">
        <v>0.02</v>
      </c>
      <c r="N27" s="3" t="s">
        <v>168</v>
      </c>
      <c r="P27" s="3"/>
      <c r="Q27" s="44"/>
      <c r="R27" s="47">
        <v>30</v>
      </c>
    </row>
    <row r="28" spans="2:18">
      <c r="B28" s="3" t="s">
        <v>125</v>
      </c>
      <c r="G28" s="22">
        <v>7.2499999999999995E-2</v>
      </c>
      <c r="N28" s="3" t="s">
        <v>169</v>
      </c>
      <c r="P28" s="3"/>
      <c r="Q28" s="44"/>
      <c r="R28" s="47">
        <v>10</v>
      </c>
    </row>
    <row r="29" spans="2:18">
      <c r="B29" s="3" t="s">
        <v>127</v>
      </c>
      <c r="G29" s="22">
        <v>7.0000000000000007E-2</v>
      </c>
      <c r="N29" s="3" t="s">
        <v>170</v>
      </c>
      <c r="P29" s="3"/>
      <c r="Q29" s="44"/>
      <c r="R29" s="47">
        <v>10</v>
      </c>
    </row>
    <row r="30" spans="2:18">
      <c r="B30" s="3" t="s">
        <v>131</v>
      </c>
      <c r="G30" s="25">
        <v>8</v>
      </c>
      <c r="H30" s="3" t="s">
        <v>108</v>
      </c>
      <c r="M30" s="8"/>
      <c r="N30" s="3" t="s">
        <v>119</v>
      </c>
      <c r="P30" s="3"/>
      <c r="Q30" s="44"/>
      <c r="R30" s="47">
        <v>8</v>
      </c>
    </row>
    <row r="31" spans="2:18">
      <c r="B31" s="3" t="s">
        <v>66</v>
      </c>
      <c r="G31" s="19">
        <v>0</v>
      </c>
      <c r="J31" s="26"/>
      <c r="M31" s="8"/>
      <c r="N31" s="3" t="s">
        <v>171</v>
      </c>
      <c r="P31" s="3"/>
      <c r="Q31" s="44"/>
      <c r="R31" s="47">
        <v>5</v>
      </c>
    </row>
    <row r="32" spans="2:18">
      <c r="J32" s="26"/>
      <c r="N32" s="44"/>
    </row>
    <row r="33" spans="2:18">
      <c r="B33" s="58" t="s">
        <v>132</v>
      </c>
      <c r="C33" s="58"/>
      <c r="D33" s="58"/>
      <c r="E33" s="58"/>
      <c r="F33" s="58"/>
      <c r="G33" s="58"/>
      <c r="H33" s="58"/>
      <c r="I33" s="6"/>
      <c r="N33" s="44"/>
    </row>
    <row r="34" spans="2:18">
      <c r="B34" s="3" t="s">
        <v>133</v>
      </c>
      <c r="G34" s="19">
        <v>0.65</v>
      </c>
      <c r="H34" s="3" t="s">
        <v>134</v>
      </c>
      <c r="J34" s="16"/>
      <c r="N34" s="44"/>
    </row>
    <row r="35" spans="2:18">
      <c r="B35" s="3" t="s">
        <v>10</v>
      </c>
      <c r="G35" s="19">
        <v>0.05</v>
      </c>
      <c r="J35" s="16"/>
    </row>
    <row r="36" spans="2:18">
      <c r="B36" s="3" t="s">
        <v>81</v>
      </c>
      <c r="G36" s="50">
        <v>30</v>
      </c>
      <c r="H36" s="3" t="s">
        <v>135</v>
      </c>
    </row>
    <row r="37" spans="2:18">
      <c r="B37" s="3" t="s">
        <v>136</v>
      </c>
      <c r="G37" s="8">
        <f>G34*L19</f>
        <v>30199000</v>
      </c>
    </row>
    <row r="38" spans="2:18">
      <c r="B38" s="3" t="s">
        <v>137</v>
      </c>
      <c r="G38" s="8">
        <f>PMT(G35/12,G36*12,G37)</f>
        <v>-162114.76193343586</v>
      </c>
    </row>
    <row r="40" spans="2:18">
      <c r="B40" s="57" t="s">
        <v>51</v>
      </c>
      <c r="C40" s="57"/>
      <c r="D40" s="57"/>
      <c r="E40" s="57"/>
      <c r="F40" s="57"/>
      <c r="G40" s="59">
        <v>0</v>
      </c>
      <c r="H40" s="59">
        <f>G40+1</f>
        <v>1</v>
      </c>
      <c r="I40" s="59">
        <f t="shared" ref="I40:R40" si="1">H40+1</f>
        <v>2</v>
      </c>
      <c r="J40" s="59">
        <f t="shared" si="1"/>
        <v>3</v>
      </c>
      <c r="K40" s="59">
        <f t="shared" si="1"/>
        <v>4</v>
      </c>
      <c r="L40" s="59">
        <f t="shared" si="1"/>
        <v>5</v>
      </c>
      <c r="M40" s="59">
        <f t="shared" si="1"/>
        <v>6</v>
      </c>
      <c r="N40" s="59">
        <f t="shared" si="1"/>
        <v>7</v>
      </c>
      <c r="O40" s="59">
        <f t="shared" si="1"/>
        <v>8</v>
      </c>
      <c r="P40" s="59">
        <f t="shared" si="1"/>
        <v>9</v>
      </c>
      <c r="Q40" s="59">
        <f t="shared" si="1"/>
        <v>10</v>
      </c>
      <c r="R40" s="59">
        <f t="shared" si="1"/>
        <v>11</v>
      </c>
    </row>
    <row r="41" spans="2:18">
      <c r="B41" s="3" t="s">
        <v>138</v>
      </c>
      <c r="G41" s="8">
        <f>-L19</f>
        <v>-46460000</v>
      </c>
    </row>
    <row r="42" spans="2:18">
      <c r="I42" s="29"/>
    </row>
    <row r="43" spans="2:18">
      <c r="B43" s="3" t="s">
        <v>172</v>
      </c>
      <c r="H43" s="51">
        <f ca="1">$G$20</f>
        <v>173</v>
      </c>
      <c r="I43" s="51">
        <f t="shared" ref="I43:R43" ca="1" si="2">$G$20</f>
        <v>173</v>
      </c>
      <c r="J43" s="51">
        <f t="shared" ca="1" si="2"/>
        <v>173</v>
      </c>
      <c r="K43" s="51">
        <f t="shared" ca="1" si="2"/>
        <v>173</v>
      </c>
      <c r="L43" s="51">
        <f t="shared" ca="1" si="2"/>
        <v>173</v>
      </c>
      <c r="M43" s="51">
        <f t="shared" ca="1" si="2"/>
        <v>173</v>
      </c>
      <c r="N43" s="51">
        <f t="shared" ca="1" si="2"/>
        <v>173</v>
      </c>
      <c r="O43" s="51">
        <f t="shared" ca="1" si="2"/>
        <v>173</v>
      </c>
      <c r="P43" s="51">
        <f t="shared" ca="1" si="2"/>
        <v>173</v>
      </c>
      <c r="Q43" s="51">
        <f t="shared" ca="1" si="2"/>
        <v>173</v>
      </c>
      <c r="R43" s="51">
        <f t="shared" ca="1" si="2"/>
        <v>173</v>
      </c>
    </row>
    <row r="44" spans="2:18">
      <c r="B44" s="3" t="s">
        <v>173</v>
      </c>
      <c r="H44" s="52">
        <f t="shared" ref="H44:R44" ca="1" si="3">H43*H47*$G$26</f>
        <v>44201.5</v>
      </c>
      <c r="I44" s="52">
        <f t="shared" ca="1" si="3"/>
        <v>44201.5</v>
      </c>
      <c r="J44" s="52">
        <f t="shared" ca="1" si="3"/>
        <v>44201.5</v>
      </c>
      <c r="K44" s="52">
        <f t="shared" ca="1" si="3"/>
        <v>44201.5</v>
      </c>
      <c r="L44" s="52">
        <f t="shared" ca="1" si="3"/>
        <v>44201.5</v>
      </c>
      <c r="M44" s="52">
        <f t="shared" ca="1" si="3"/>
        <v>44201.5</v>
      </c>
      <c r="N44" s="52">
        <f t="shared" ca="1" si="3"/>
        <v>44201.5</v>
      </c>
      <c r="O44" s="52">
        <f t="shared" ca="1" si="3"/>
        <v>44201.5</v>
      </c>
      <c r="P44" s="52">
        <f t="shared" ca="1" si="3"/>
        <v>44201.5</v>
      </c>
      <c r="Q44" s="52">
        <f t="shared" ca="1" si="3"/>
        <v>44201.5</v>
      </c>
      <c r="R44" s="52">
        <f t="shared" ca="1" si="3"/>
        <v>44201.5</v>
      </c>
    </row>
    <row r="45" spans="2:18">
      <c r="B45" s="3" t="s">
        <v>174</v>
      </c>
      <c r="H45" s="52">
        <f t="shared" ref="H45:R45" ca="1" si="4">H43*$G$26</f>
        <v>63145</v>
      </c>
      <c r="I45" s="52">
        <f t="shared" ca="1" si="4"/>
        <v>63145</v>
      </c>
      <c r="J45" s="52">
        <f t="shared" ca="1" si="4"/>
        <v>63145</v>
      </c>
      <c r="K45" s="52">
        <f t="shared" ca="1" si="4"/>
        <v>63145</v>
      </c>
      <c r="L45" s="52">
        <f t="shared" ca="1" si="4"/>
        <v>63145</v>
      </c>
      <c r="M45" s="52">
        <f t="shared" ca="1" si="4"/>
        <v>63145</v>
      </c>
      <c r="N45" s="52">
        <f t="shared" ca="1" si="4"/>
        <v>63145</v>
      </c>
      <c r="O45" s="52">
        <f t="shared" ca="1" si="4"/>
        <v>63145</v>
      </c>
      <c r="P45" s="52">
        <f t="shared" ca="1" si="4"/>
        <v>63145</v>
      </c>
      <c r="Q45" s="52">
        <f t="shared" ca="1" si="4"/>
        <v>63145</v>
      </c>
      <c r="R45" s="52">
        <f t="shared" ca="1" si="4"/>
        <v>63145</v>
      </c>
    </row>
    <row r="46" spans="2:18">
      <c r="B46" s="3" t="s">
        <v>175</v>
      </c>
      <c r="H46" s="8">
        <f t="shared" ref="H46:R46" si="5">$G$22*((1+$G$23)^G40)</f>
        <v>289.81851857500004</v>
      </c>
      <c r="I46" s="8">
        <f t="shared" si="5"/>
        <v>298.51307413225004</v>
      </c>
      <c r="J46" s="8">
        <f t="shared" si="5"/>
        <v>307.4684663562175</v>
      </c>
      <c r="K46" s="8">
        <f t="shared" si="5"/>
        <v>316.69252034690408</v>
      </c>
      <c r="L46" s="8">
        <f t="shared" si="5"/>
        <v>326.19329595731119</v>
      </c>
      <c r="M46" s="8">
        <f t="shared" si="5"/>
        <v>335.97909483603047</v>
      </c>
      <c r="N46" s="8">
        <f t="shared" si="5"/>
        <v>346.05846768111144</v>
      </c>
      <c r="O46" s="8">
        <f t="shared" si="5"/>
        <v>356.44022171154478</v>
      </c>
      <c r="P46" s="8">
        <f t="shared" si="5"/>
        <v>367.1334283628911</v>
      </c>
      <c r="Q46" s="8">
        <f t="shared" si="5"/>
        <v>378.14743121377785</v>
      </c>
      <c r="R46" s="8">
        <f t="shared" si="5"/>
        <v>389.49185415019116</v>
      </c>
    </row>
    <row r="47" spans="2:18">
      <c r="B47" s="3" t="s">
        <v>52</v>
      </c>
      <c r="H47" s="53">
        <f t="shared" ref="H47:R47" si="6">$G$24</f>
        <v>0.7</v>
      </c>
      <c r="I47" s="53">
        <f t="shared" si="6"/>
        <v>0.7</v>
      </c>
      <c r="J47" s="53">
        <f t="shared" si="6"/>
        <v>0.7</v>
      </c>
      <c r="K47" s="53">
        <f t="shared" si="6"/>
        <v>0.7</v>
      </c>
      <c r="L47" s="53">
        <f t="shared" si="6"/>
        <v>0.7</v>
      </c>
      <c r="M47" s="53">
        <f t="shared" si="6"/>
        <v>0.7</v>
      </c>
      <c r="N47" s="53">
        <f t="shared" si="6"/>
        <v>0.7</v>
      </c>
      <c r="O47" s="53">
        <f t="shared" si="6"/>
        <v>0.7</v>
      </c>
      <c r="P47" s="53">
        <f t="shared" si="6"/>
        <v>0.7</v>
      </c>
      <c r="Q47" s="53">
        <f t="shared" si="6"/>
        <v>0.7</v>
      </c>
      <c r="R47" s="53">
        <f t="shared" si="6"/>
        <v>0.7</v>
      </c>
    </row>
    <row r="48" spans="2:18">
      <c r="B48" s="3" t="s">
        <v>176</v>
      </c>
      <c r="H48" s="8">
        <f>H46*H47</f>
        <v>202.87296300250003</v>
      </c>
      <c r="I48" s="8">
        <f t="shared" ref="I48:R48" si="7">I46*I47</f>
        <v>208.95915189257502</v>
      </c>
      <c r="J48" s="8">
        <f t="shared" si="7"/>
        <v>215.22792644935225</v>
      </c>
      <c r="K48" s="8">
        <f t="shared" si="7"/>
        <v>221.68476424283284</v>
      </c>
      <c r="L48" s="8">
        <f t="shared" si="7"/>
        <v>228.33530717011783</v>
      </c>
      <c r="M48" s="8">
        <f t="shared" si="7"/>
        <v>235.1853663852213</v>
      </c>
      <c r="N48" s="8">
        <f t="shared" si="7"/>
        <v>242.24092737677799</v>
      </c>
      <c r="O48" s="8">
        <f t="shared" si="7"/>
        <v>249.50815519808134</v>
      </c>
      <c r="P48" s="8">
        <f t="shared" si="7"/>
        <v>256.99339985402378</v>
      </c>
      <c r="Q48" s="8">
        <f t="shared" si="7"/>
        <v>264.70320184964447</v>
      </c>
      <c r="R48" s="8">
        <f t="shared" si="7"/>
        <v>272.64429790513378</v>
      </c>
    </row>
    <row r="49" spans="2:18"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2:18">
      <c r="B50" s="3" t="s">
        <v>177</v>
      </c>
      <c r="H50" s="8">
        <f ca="1">H48*H45</f>
        <v>12810413.248792864</v>
      </c>
      <c r="I50" s="8">
        <f t="shared" ref="I50:R50" ca="1" si="8">I48*I45</f>
        <v>13194725.64625665</v>
      </c>
      <c r="J50" s="8">
        <f t="shared" ca="1" si="8"/>
        <v>13590567.415644348</v>
      </c>
      <c r="K50" s="8">
        <f t="shared" ca="1" si="8"/>
        <v>13998284.43811368</v>
      </c>
      <c r="L50" s="8">
        <f t="shared" ca="1" si="8"/>
        <v>14418232.971257091</v>
      </c>
      <c r="M50" s="8">
        <f t="shared" ca="1" si="8"/>
        <v>14850779.9603948</v>
      </c>
      <c r="N50" s="8">
        <f t="shared" ca="1" si="8"/>
        <v>15296303.359206647</v>
      </c>
      <c r="O50" s="8">
        <f t="shared" ca="1" si="8"/>
        <v>15755192.459982846</v>
      </c>
      <c r="P50" s="8">
        <f t="shared" ca="1" si="8"/>
        <v>16227848.233782332</v>
      </c>
      <c r="Q50" s="8">
        <f t="shared" ca="1" si="8"/>
        <v>16714683.6807958</v>
      </c>
      <c r="R50" s="8">
        <f t="shared" ca="1" si="8"/>
        <v>17216124.191219673</v>
      </c>
    </row>
    <row r="51" spans="2:18">
      <c r="B51" s="3" t="s">
        <v>178</v>
      </c>
      <c r="H51" s="8">
        <f t="shared" ref="H51:R51" ca="1" si="9">H$44*$R$18</f>
        <v>1281041.3248792863</v>
      </c>
      <c r="I51" s="8">
        <f t="shared" ca="1" si="9"/>
        <v>1281041.3248792863</v>
      </c>
      <c r="J51" s="8">
        <f t="shared" ca="1" si="9"/>
        <v>1281041.3248792863</v>
      </c>
      <c r="K51" s="8">
        <f t="shared" ca="1" si="9"/>
        <v>1281041.3248792863</v>
      </c>
      <c r="L51" s="8">
        <f t="shared" ca="1" si="9"/>
        <v>1281041.3248792863</v>
      </c>
      <c r="M51" s="8">
        <f t="shared" ca="1" si="9"/>
        <v>1281041.3248792863</v>
      </c>
      <c r="N51" s="8">
        <f t="shared" ca="1" si="9"/>
        <v>1281041.3248792863</v>
      </c>
      <c r="O51" s="8">
        <f t="shared" ca="1" si="9"/>
        <v>1281041.3248792863</v>
      </c>
      <c r="P51" s="8">
        <f t="shared" ca="1" si="9"/>
        <v>1281041.3248792863</v>
      </c>
      <c r="Q51" s="8">
        <f t="shared" ca="1" si="9"/>
        <v>1281041.3248792863</v>
      </c>
      <c r="R51" s="8">
        <f t="shared" ca="1" si="9"/>
        <v>1281041.3248792863</v>
      </c>
    </row>
    <row r="52" spans="2:18">
      <c r="B52" s="3" t="s">
        <v>179</v>
      </c>
      <c r="H52" s="8">
        <f t="shared" ref="H52:R52" ca="1" si="10">H44*$R$19</f>
        <v>384312.39746378589</v>
      </c>
      <c r="I52" s="8">
        <f t="shared" ca="1" si="10"/>
        <v>384312.39746378589</v>
      </c>
      <c r="J52" s="8">
        <f t="shared" ca="1" si="10"/>
        <v>384312.39746378589</v>
      </c>
      <c r="K52" s="8">
        <f t="shared" ca="1" si="10"/>
        <v>384312.39746378589</v>
      </c>
      <c r="L52" s="8">
        <f t="shared" ca="1" si="10"/>
        <v>384312.39746378589</v>
      </c>
      <c r="M52" s="8">
        <f t="shared" ca="1" si="10"/>
        <v>384312.39746378589</v>
      </c>
      <c r="N52" s="8">
        <f t="shared" ca="1" si="10"/>
        <v>384312.39746378589</v>
      </c>
      <c r="O52" s="8">
        <f t="shared" ca="1" si="10"/>
        <v>384312.39746378589</v>
      </c>
      <c r="P52" s="8">
        <f t="shared" ca="1" si="10"/>
        <v>384312.39746378589</v>
      </c>
      <c r="Q52" s="8">
        <f t="shared" ca="1" si="10"/>
        <v>384312.39746378589</v>
      </c>
      <c r="R52" s="8">
        <f t="shared" ca="1" si="10"/>
        <v>384312.39746378589</v>
      </c>
    </row>
    <row r="53" spans="2:18">
      <c r="B53" s="12" t="s">
        <v>180</v>
      </c>
      <c r="C53" s="12"/>
      <c r="D53" s="12"/>
      <c r="E53" s="12"/>
      <c r="F53" s="12"/>
      <c r="G53" s="12"/>
      <c r="H53" s="13">
        <f ca="1">SUM(H50:H52)</f>
        <v>14475766.971135937</v>
      </c>
      <c r="I53" s="13">
        <f t="shared" ref="I53:R53" ca="1" si="11">SUM(I50:I52)</f>
        <v>14860079.368599722</v>
      </c>
      <c r="J53" s="13">
        <f t="shared" ca="1" si="11"/>
        <v>15255921.13798742</v>
      </c>
      <c r="K53" s="13">
        <f t="shared" ca="1" si="11"/>
        <v>15663638.160456752</v>
      </c>
      <c r="L53" s="13">
        <f t="shared" ca="1" si="11"/>
        <v>16083586.693600163</v>
      </c>
      <c r="M53" s="13">
        <f t="shared" ca="1" si="11"/>
        <v>16516133.682737872</v>
      </c>
      <c r="N53" s="13">
        <f t="shared" ca="1" si="11"/>
        <v>16961657.081549719</v>
      </c>
      <c r="O53" s="13">
        <f t="shared" ca="1" si="11"/>
        <v>17420546.182325918</v>
      </c>
      <c r="P53" s="13">
        <f t="shared" ca="1" si="11"/>
        <v>17893201.956125405</v>
      </c>
      <c r="Q53" s="13">
        <f t="shared" ca="1" si="11"/>
        <v>18380037.403138872</v>
      </c>
      <c r="R53" s="13">
        <f t="shared" ca="1" si="11"/>
        <v>18881477.913562745</v>
      </c>
    </row>
    <row r="54" spans="2:18"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2:18">
      <c r="B55" s="3" t="s">
        <v>181</v>
      </c>
      <c r="H55" s="8">
        <f t="shared" ref="H55:R57" ca="1" si="12">H$44*$R21</f>
        <v>7686247.949275719</v>
      </c>
      <c r="I55" s="8">
        <f t="shared" ca="1" si="12"/>
        <v>7686247.949275719</v>
      </c>
      <c r="J55" s="8">
        <f t="shared" ca="1" si="12"/>
        <v>7686247.949275719</v>
      </c>
      <c r="K55" s="8">
        <f t="shared" ca="1" si="12"/>
        <v>7686247.949275719</v>
      </c>
      <c r="L55" s="8">
        <f t="shared" ca="1" si="12"/>
        <v>7686247.949275719</v>
      </c>
      <c r="M55" s="8">
        <f t="shared" ca="1" si="12"/>
        <v>7686247.949275719</v>
      </c>
      <c r="N55" s="8">
        <f t="shared" ca="1" si="12"/>
        <v>7686247.949275719</v>
      </c>
      <c r="O55" s="8">
        <f t="shared" ca="1" si="12"/>
        <v>7686247.949275719</v>
      </c>
      <c r="P55" s="8">
        <f t="shared" ca="1" si="12"/>
        <v>7686247.949275719</v>
      </c>
      <c r="Q55" s="8">
        <f t="shared" ca="1" si="12"/>
        <v>7686247.949275719</v>
      </c>
      <c r="R55" s="8">
        <f t="shared" ca="1" si="12"/>
        <v>7686247.949275719</v>
      </c>
    </row>
    <row r="56" spans="2:18">
      <c r="B56" s="3" t="s">
        <v>182</v>
      </c>
      <c r="H56" s="8">
        <f t="shared" ca="1" si="12"/>
        <v>1152937.1923913579</v>
      </c>
      <c r="I56" s="8">
        <f t="shared" ca="1" si="12"/>
        <v>1152937.1923913579</v>
      </c>
      <c r="J56" s="8">
        <f t="shared" ca="1" si="12"/>
        <v>1152937.1923913579</v>
      </c>
      <c r="K56" s="8">
        <f t="shared" ca="1" si="12"/>
        <v>1152937.1923913579</v>
      </c>
      <c r="L56" s="8">
        <f t="shared" ca="1" si="12"/>
        <v>1152937.1923913579</v>
      </c>
      <c r="M56" s="8">
        <f t="shared" ca="1" si="12"/>
        <v>1152937.1923913579</v>
      </c>
      <c r="N56" s="8">
        <f t="shared" ca="1" si="12"/>
        <v>1152937.1923913579</v>
      </c>
      <c r="O56" s="8">
        <f t="shared" ca="1" si="12"/>
        <v>1152937.1923913579</v>
      </c>
      <c r="P56" s="8">
        <f t="shared" ca="1" si="12"/>
        <v>1152937.1923913579</v>
      </c>
      <c r="Q56" s="8">
        <f t="shared" ca="1" si="12"/>
        <v>1152937.1923913579</v>
      </c>
      <c r="R56" s="8">
        <f t="shared" ca="1" si="12"/>
        <v>1152937.1923913579</v>
      </c>
    </row>
    <row r="57" spans="2:18">
      <c r="B57" s="3" t="s">
        <v>183</v>
      </c>
      <c r="H57" s="8">
        <f t="shared" ca="1" si="12"/>
        <v>38431.239746378589</v>
      </c>
      <c r="I57" s="8">
        <f t="shared" ca="1" si="12"/>
        <v>38431.239746378589</v>
      </c>
      <c r="J57" s="8">
        <f t="shared" ca="1" si="12"/>
        <v>38431.239746378589</v>
      </c>
      <c r="K57" s="8">
        <f t="shared" ca="1" si="12"/>
        <v>38431.239746378589</v>
      </c>
      <c r="L57" s="8">
        <f t="shared" ca="1" si="12"/>
        <v>38431.239746378589</v>
      </c>
      <c r="M57" s="8">
        <f t="shared" ca="1" si="12"/>
        <v>38431.239746378589</v>
      </c>
      <c r="N57" s="8">
        <f t="shared" ca="1" si="12"/>
        <v>38431.239746378589</v>
      </c>
      <c r="O57" s="8">
        <f t="shared" ca="1" si="12"/>
        <v>38431.239746378589</v>
      </c>
      <c r="P57" s="8">
        <f t="shared" ca="1" si="12"/>
        <v>38431.239746378589</v>
      </c>
      <c r="Q57" s="8">
        <f t="shared" ca="1" si="12"/>
        <v>38431.239746378589</v>
      </c>
      <c r="R57" s="8">
        <f t="shared" ca="1" si="12"/>
        <v>38431.239746378589</v>
      </c>
    </row>
    <row r="58" spans="2:18">
      <c r="B58" s="12" t="s">
        <v>126</v>
      </c>
      <c r="C58" s="12"/>
      <c r="D58" s="12"/>
      <c r="E58" s="12"/>
      <c r="F58" s="12"/>
      <c r="G58" s="12"/>
      <c r="H58" s="13">
        <f ca="1">SUM(H55:H57)</f>
        <v>8877616.3814134561</v>
      </c>
      <c r="I58" s="13">
        <f t="shared" ref="I58:R58" ca="1" si="13">SUM(I55:I57)</f>
        <v>8877616.3814134561</v>
      </c>
      <c r="J58" s="13">
        <f t="shared" ca="1" si="13"/>
        <v>8877616.3814134561</v>
      </c>
      <c r="K58" s="13">
        <f t="shared" ca="1" si="13"/>
        <v>8877616.3814134561</v>
      </c>
      <c r="L58" s="13">
        <f t="shared" ca="1" si="13"/>
        <v>8877616.3814134561</v>
      </c>
      <c r="M58" s="13">
        <f t="shared" ca="1" si="13"/>
        <v>8877616.3814134561</v>
      </c>
      <c r="N58" s="13">
        <f t="shared" ca="1" si="13"/>
        <v>8877616.3814134561</v>
      </c>
      <c r="O58" s="13">
        <f t="shared" ca="1" si="13"/>
        <v>8877616.3814134561</v>
      </c>
      <c r="P58" s="13">
        <f t="shared" ca="1" si="13"/>
        <v>8877616.3814134561</v>
      </c>
      <c r="Q58" s="13">
        <f t="shared" ca="1" si="13"/>
        <v>8877616.3814134561</v>
      </c>
      <c r="R58" s="13">
        <f t="shared" ca="1" si="13"/>
        <v>8877616.3814134561</v>
      </c>
    </row>
    <row r="60" spans="2:18">
      <c r="B60" s="54" t="s">
        <v>184</v>
      </c>
    </row>
    <row r="61" spans="2:18">
      <c r="B61" s="3" t="s">
        <v>167</v>
      </c>
      <c r="H61" s="8">
        <f t="shared" ref="H61:R66" ca="1" si="14">H$44*$R26</f>
        <v>1547052.5</v>
      </c>
      <c r="I61" s="8">
        <f t="shared" ca="1" si="14"/>
        <v>1547052.5</v>
      </c>
      <c r="J61" s="8">
        <f t="shared" ca="1" si="14"/>
        <v>1547052.5</v>
      </c>
      <c r="K61" s="8">
        <f t="shared" ca="1" si="14"/>
        <v>1547052.5</v>
      </c>
      <c r="L61" s="8">
        <f t="shared" ca="1" si="14"/>
        <v>1547052.5</v>
      </c>
      <c r="M61" s="8">
        <f t="shared" ca="1" si="14"/>
        <v>1547052.5</v>
      </c>
      <c r="N61" s="8">
        <f t="shared" ca="1" si="14"/>
        <v>1547052.5</v>
      </c>
      <c r="O61" s="8">
        <f t="shared" ca="1" si="14"/>
        <v>1547052.5</v>
      </c>
      <c r="P61" s="8">
        <f t="shared" ca="1" si="14"/>
        <v>1547052.5</v>
      </c>
      <c r="Q61" s="8">
        <f t="shared" ca="1" si="14"/>
        <v>1547052.5</v>
      </c>
      <c r="R61" s="8">
        <f t="shared" ca="1" si="14"/>
        <v>1547052.5</v>
      </c>
    </row>
    <row r="62" spans="2:18">
      <c r="B62" s="3" t="s">
        <v>168</v>
      </c>
      <c r="H62" s="8">
        <f t="shared" ca="1" si="14"/>
        <v>1326045</v>
      </c>
      <c r="I62" s="8">
        <f t="shared" ca="1" si="14"/>
        <v>1326045</v>
      </c>
      <c r="J62" s="8">
        <f t="shared" ca="1" si="14"/>
        <v>1326045</v>
      </c>
      <c r="K62" s="8">
        <f t="shared" ca="1" si="14"/>
        <v>1326045</v>
      </c>
      <c r="L62" s="8">
        <f t="shared" ca="1" si="14"/>
        <v>1326045</v>
      </c>
      <c r="M62" s="8">
        <f t="shared" ca="1" si="14"/>
        <v>1326045</v>
      </c>
      <c r="N62" s="8">
        <f t="shared" ca="1" si="14"/>
        <v>1326045</v>
      </c>
      <c r="O62" s="8">
        <f t="shared" ca="1" si="14"/>
        <v>1326045</v>
      </c>
      <c r="P62" s="8">
        <f t="shared" ca="1" si="14"/>
        <v>1326045</v>
      </c>
      <c r="Q62" s="8">
        <f t="shared" ca="1" si="14"/>
        <v>1326045</v>
      </c>
      <c r="R62" s="8">
        <f t="shared" ca="1" si="14"/>
        <v>1326045</v>
      </c>
    </row>
    <row r="63" spans="2:18">
      <c r="B63" s="3" t="s">
        <v>169</v>
      </c>
      <c r="H63" s="8">
        <f t="shared" ca="1" si="14"/>
        <v>442015</v>
      </c>
      <c r="I63" s="8">
        <f t="shared" ca="1" si="14"/>
        <v>442015</v>
      </c>
      <c r="J63" s="8">
        <f t="shared" ca="1" si="14"/>
        <v>442015</v>
      </c>
      <c r="K63" s="8">
        <f t="shared" ca="1" si="14"/>
        <v>442015</v>
      </c>
      <c r="L63" s="8">
        <f t="shared" ca="1" si="14"/>
        <v>442015</v>
      </c>
      <c r="M63" s="8">
        <f t="shared" ca="1" si="14"/>
        <v>442015</v>
      </c>
      <c r="N63" s="8">
        <f t="shared" ca="1" si="14"/>
        <v>442015</v>
      </c>
      <c r="O63" s="8">
        <f t="shared" ca="1" si="14"/>
        <v>442015</v>
      </c>
      <c r="P63" s="8">
        <f t="shared" ca="1" si="14"/>
        <v>442015</v>
      </c>
      <c r="Q63" s="8">
        <f t="shared" ca="1" si="14"/>
        <v>442015</v>
      </c>
      <c r="R63" s="8">
        <f t="shared" ca="1" si="14"/>
        <v>442015</v>
      </c>
    </row>
    <row r="64" spans="2:18">
      <c r="B64" s="3" t="s">
        <v>170</v>
      </c>
      <c r="H64" s="8">
        <f t="shared" ca="1" si="14"/>
        <v>442015</v>
      </c>
      <c r="I64" s="8">
        <f t="shared" ca="1" si="14"/>
        <v>442015</v>
      </c>
      <c r="J64" s="8">
        <f t="shared" ca="1" si="14"/>
        <v>442015</v>
      </c>
      <c r="K64" s="8">
        <f t="shared" ca="1" si="14"/>
        <v>442015</v>
      </c>
      <c r="L64" s="8">
        <f t="shared" ca="1" si="14"/>
        <v>442015</v>
      </c>
      <c r="M64" s="8">
        <f t="shared" ca="1" si="14"/>
        <v>442015</v>
      </c>
      <c r="N64" s="8">
        <f t="shared" ca="1" si="14"/>
        <v>442015</v>
      </c>
      <c r="O64" s="8">
        <f t="shared" ca="1" si="14"/>
        <v>442015</v>
      </c>
      <c r="P64" s="8">
        <f t="shared" ca="1" si="14"/>
        <v>442015</v>
      </c>
      <c r="Q64" s="8">
        <f t="shared" ca="1" si="14"/>
        <v>442015</v>
      </c>
      <c r="R64" s="8">
        <f t="shared" ca="1" si="14"/>
        <v>442015</v>
      </c>
    </row>
    <row r="65" spans="2:18">
      <c r="B65" s="3" t="s">
        <v>119</v>
      </c>
      <c r="H65" s="8">
        <f t="shared" ca="1" si="14"/>
        <v>353612</v>
      </c>
      <c r="I65" s="8">
        <f t="shared" ca="1" si="14"/>
        <v>353612</v>
      </c>
      <c r="J65" s="8">
        <f t="shared" ca="1" si="14"/>
        <v>353612</v>
      </c>
      <c r="K65" s="8">
        <f t="shared" ca="1" si="14"/>
        <v>353612</v>
      </c>
      <c r="L65" s="8">
        <f t="shared" ca="1" si="14"/>
        <v>353612</v>
      </c>
      <c r="M65" s="8">
        <f t="shared" ca="1" si="14"/>
        <v>353612</v>
      </c>
      <c r="N65" s="8">
        <f t="shared" ca="1" si="14"/>
        <v>353612</v>
      </c>
      <c r="O65" s="8">
        <f t="shared" ca="1" si="14"/>
        <v>353612</v>
      </c>
      <c r="P65" s="8">
        <f t="shared" ca="1" si="14"/>
        <v>353612</v>
      </c>
      <c r="Q65" s="8">
        <f t="shared" ca="1" si="14"/>
        <v>353612</v>
      </c>
      <c r="R65" s="8">
        <f t="shared" ca="1" si="14"/>
        <v>353612</v>
      </c>
    </row>
    <row r="66" spans="2:18">
      <c r="B66" s="3" t="s">
        <v>171</v>
      </c>
      <c r="H66" s="8">
        <f t="shared" ca="1" si="14"/>
        <v>221007.5</v>
      </c>
      <c r="I66" s="8">
        <f t="shared" ca="1" si="14"/>
        <v>221007.5</v>
      </c>
      <c r="J66" s="8">
        <f t="shared" ca="1" si="14"/>
        <v>221007.5</v>
      </c>
      <c r="K66" s="8">
        <f t="shared" ca="1" si="14"/>
        <v>221007.5</v>
      </c>
      <c r="L66" s="8">
        <f t="shared" ca="1" si="14"/>
        <v>221007.5</v>
      </c>
      <c r="M66" s="8">
        <f t="shared" ca="1" si="14"/>
        <v>221007.5</v>
      </c>
      <c r="N66" s="8">
        <f t="shared" ca="1" si="14"/>
        <v>221007.5</v>
      </c>
      <c r="O66" s="8">
        <f t="shared" ca="1" si="14"/>
        <v>221007.5</v>
      </c>
      <c r="P66" s="8">
        <f t="shared" ca="1" si="14"/>
        <v>221007.5</v>
      </c>
      <c r="Q66" s="8">
        <f t="shared" ca="1" si="14"/>
        <v>221007.5</v>
      </c>
      <c r="R66" s="8">
        <f t="shared" ca="1" si="14"/>
        <v>221007.5</v>
      </c>
    </row>
    <row r="67" spans="2:18">
      <c r="B67" s="12" t="s">
        <v>185</v>
      </c>
      <c r="C67" s="12"/>
      <c r="D67" s="12"/>
      <c r="E67" s="12"/>
      <c r="F67" s="12"/>
      <c r="G67" s="12"/>
      <c r="H67" s="13">
        <f ca="1">SUM(H61:H66)</f>
        <v>4331747</v>
      </c>
      <c r="I67" s="13">
        <f t="shared" ref="I67:R67" ca="1" si="15">SUM(I61:I66)</f>
        <v>4331747</v>
      </c>
      <c r="J67" s="13">
        <f t="shared" ca="1" si="15"/>
        <v>4331747</v>
      </c>
      <c r="K67" s="13">
        <f t="shared" ca="1" si="15"/>
        <v>4331747</v>
      </c>
      <c r="L67" s="13">
        <f t="shared" ca="1" si="15"/>
        <v>4331747</v>
      </c>
      <c r="M67" s="13">
        <f t="shared" ca="1" si="15"/>
        <v>4331747</v>
      </c>
      <c r="N67" s="13">
        <f t="shared" ca="1" si="15"/>
        <v>4331747</v>
      </c>
      <c r="O67" s="13">
        <f t="shared" ca="1" si="15"/>
        <v>4331747</v>
      </c>
      <c r="P67" s="13">
        <f t="shared" ca="1" si="15"/>
        <v>4331747</v>
      </c>
      <c r="Q67" s="13">
        <f t="shared" ca="1" si="15"/>
        <v>4331747</v>
      </c>
      <c r="R67" s="13">
        <f t="shared" ca="1" si="15"/>
        <v>4331747</v>
      </c>
    </row>
    <row r="68" spans="2:18">
      <c r="B68" s="55"/>
    </row>
    <row r="69" spans="2:18">
      <c r="B69" s="3" t="s">
        <v>64</v>
      </c>
      <c r="H69" s="8">
        <f ca="1">H53-H58-H67</f>
        <v>1266403.5897224806</v>
      </c>
      <c r="I69" s="8">
        <f t="shared" ref="I69:R69" ca="1" si="16">I53-I58-I67</f>
        <v>1650715.9871862661</v>
      </c>
      <c r="J69" s="8">
        <f t="shared" ca="1" si="16"/>
        <v>2046557.7565739639</v>
      </c>
      <c r="K69" s="8">
        <f t="shared" ca="1" si="16"/>
        <v>2454274.7790432964</v>
      </c>
      <c r="L69" s="8">
        <f t="shared" ca="1" si="16"/>
        <v>2874223.3121867068</v>
      </c>
      <c r="M69" s="8">
        <f t="shared" ca="1" si="16"/>
        <v>3306770.301324416</v>
      </c>
      <c r="N69" s="8">
        <f t="shared" ca="1" si="16"/>
        <v>3752293.7001362629</v>
      </c>
      <c r="O69" s="8">
        <f t="shared" ca="1" si="16"/>
        <v>4211182.8009124622</v>
      </c>
      <c r="P69" s="8">
        <f t="shared" ca="1" si="16"/>
        <v>4683838.5747119486</v>
      </c>
      <c r="Q69" s="8">
        <f t="shared" ca="1" si="16"/>
        <v>5170674.0217254162</v>
      </c>
      <c r="R69" s="8">
        <f t="shared" ca="1" si="16"/>
        <v>5672114.5321492888</v>
      </c>
    </row>
    <row r="72" spans="2:18">
      <c r="B72" s="3" t="s">
        <v>142</v>
      </c>
      <c r="G72" s="8">
        <f t="shared" ref="G72:R72" si="17">IF(G40&lt;=$G$30+1,G41+G69,0)</f>
        <v>-46460000</v>
      </c>
      <c r="H72" s="8">
        <f t="shared" ca="1" si="17"/>
        <v>1266403.5897224806</v>
      </c>
      <c r="I72" s="8">
        <f t="shared" ca="1" si="17"/>
        <v>1650715.9871862661</v>
      </c>
      <c r="J72" s="8">
        <f t="shared" ca="1" si="17"/>
        <v>2046557.7565739639</v>
      </c>
      <c r="K72" s="8">
        <f t="shared" ca="1" si="17"/>
        <v>2454274.7790432964</v>
      </c>
      <c r="L72" s="8">
        <f t="shared" ca="1" si="17"/>
        <v>2874223.3121867068</v>
      </c>
      <c r="M72" s="8">
        <f t="shared" ca="1" si="17"/>
        <v>3306770.301324416</v>
      </c>
      <c r="N72" s="8">
        <f t="shared" ca="1" si="17"/>
        <v>3752293.7001362629</v>
      </c>
      <c r="O72" s="8">
        <f t="shared" ca="1" si="17"/>
        <v>4211182.8009124622</v>
      </c>
      <c r="P72" s="8">
        <f t="shared" ca="1" si="17"/>
        <v>4683838.5747119486</v>
      </c>
      <c r="Q72" s="8">
        <f t="shared" si="17"/>
        <v>0</v>
      </c>
      <c r="R72" s="8">
        <f t="shared" si="17"/>
        <v>0</v>
      </c>
    </row>
    <row r="73" spans="2:18"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</row>
    <row r="74" spans="2:18">
      <c r="B74" s="3" t="s">
        <v>65</v>
      </c>
      <c r="H74" s="8">
        <f t="shared" ref="H74:R74" si="18">IF(H40=$G$30,I72/$G$29,0)</f>
        <v>0</v>
      </c>
      <c r="I74" s="8">
        <f t="shared" si="18"/>
        <v>0</v>
      </c>
      <c r="J74" s="8">
        <f t="shared" si="18"/>
        <v>0</v>
      </c>
      <c r="K74" s="8">
        <f t="shared" si="18"/>
        <v>0</v>
      </c>
      <c r="L74" s="8">
        <f t="shared" si="18"/>
        <v>0</v>
      </c>
      <c r="M74" s="8">
        <f t="shared" si="18"/>
        <v>0</v>
      </c>
      <c r="N74" s="8">
        <f t="shared" si="18"/>
        <v>0</v>
      </c>
      <c r="O74" s="8">
        <f t="shared" ca="1" si="18"/>
        <v>66911979.638742119</v>
      </c>
      <c r="P74" s="8">
        <f t="shared" si="18"/>
        <v>0</v>
      </c>
      <c r="Q74" s="8">
        <f t="shared" si="18"/>
        <v>0</v>
      </c>
      <c r="R74" s="8">
        <f t="shared" si="18"/>
        <v>0</v>
      </c>
    </row>
    <row r="75" spans="2:18">
      <c r="B75" s="3" t="s">
        <v>66</v>
      </c>
      <c r="H75" s="8">
        <f t="shared" ref="H75:R75" si="19">-H74*$G$31</f>
        <v>0</v>
      </c>
      <c r="I75" s="8">
        <f t="shared" si="19"/>
        <v>0</v>
      </c>
      <c r="J75" s="8">
        <f t="shared" si="19"/>
        <v>0</v>
      </c>
      <c r="K75" s="8">
        <f t="shared" si="19"/>
        <v>0</v>
      </c>
      <c r="L75" s="8">
        <f t="shared" si="19"/>
        <v>0</v>
      </c>
      <c r="M75" s="8">
        <f t="shared" si="19"/>
        <v>0</v>
      </c>
      <c r="N75" s="8">
        <f t="shared" si="19"/>
        <v>0</v>
      </c>
      <c r="O75" s="8">
        <f t="shared" ca="1" si="19"/>
        <v>0</v>
      </c>
      <c r="P75" s="8">
        <f t="shared" si="19"/>
        <v>0</v>
      </c>
      <c r="Q75" s="8">
        <f t="shared" si="19"/>
        <v>0</v>
      </c>
      <c r="R75" s="8">
        <f t="shared" si="19"/>
        <v>0</v>
      </c>
    </row>
    <row r="76" spans="2:18">
      <c r="B76" s="12" t="s">
        <v>67</v>
      </c>
      <c r="C76" s="12"/>
      <c r="D76" s="12"/>
      <c r="E76" s="12"/>
      <c r="F76" s="12"/>
      <c r="G76" s="13">
        <f t="shared" ref="G76:R76" si="20">IF(G40&lt;=$G$30,SUM(G72:G75),0)</f>
        <v>-46460000</v>
      </c>
      <c r="H76" s="13">
        <f t="shared" ca="1" si="20"/>
        <v>1266403.5897224806</v>
      </c>
      <c r="I76" s="13">
        <f t="shared" ca="1" si="20"/>
        <v>1650715.9871862661</v>
      </c>
      <c r="J76" s="13">
        <f t="shared" ca="1" si="20"/>
        <v>2046557.7565739639</v>
      </c>
      <c r="K76" s="13">
        <f t="shared" ca="1" si="20"/>
        <v>2454274.7790432964</v>
      </c>
      <c r="L76" s="13">
        <f t="shared" ca="1" si="20"/>
        <v>2874223.3121867068</v>
      </c>
      <c r="M76" s="13">
        <f t="shared" ca="1" si="20"/>
        <v>3306770.301324416</v>
      </c>
      <c r="N76" s="13">
        <f t="shared" ca="1" si="20"/>
        <v>3752293.7001362629</v>
      </c>
      <c r="O76" s="13">
        <f t="shared" ca="1" si="20"/>
        <v>71123162.439654589</v>
      </c>
      <c r="P76" s="13">
        <f t="shared" si="20"/>
        <v>0</v>
      </c>
      <c r="Q76" s="13">
        <f t="shared" si="20"/>
        <v>0</v>
      </c>
      <c r="R76" s="13">
        <f t="shared" si="20"/>
        <v>0</v>
      </c>
    </row>
    <row r="77" spans="2:18" ht="16" thickBot="1"/>
    <row r="78" spans="2:18">
      <c r="B78" s="30" t="s">
        <v>68</v>
      </c>
      <c r="C78" s="31"/>
      <c r="D78" s="31"/>
      <c r="E78" s="31"/>
      <c r="F78" s="31"/>
      <c r="G78" s="32">
        <f ca="1">SUM(G76:R76)</f>
        <v>42014401.865827985</v>
      </c>
    </row>
    <row r="79" spans="2:18">
      <c r="B79" s="33" t="s">
        <v>69</v>
      </c>
      <c r="G79" s="34">
        <f ca="1">NPV($L$26,H76:R76)</f>
        <v>50671440.838885672</v>
      </c>
    </row>
    <row r="80" spans="2:18">
      <c r="B80" s="33" t="s">
        <v>70</v>
      </c>
      <c r="G80" s="34">
        <f ca="1">G79+G76</f>
        <v>4211440.8388856724</v>
      </c>
    </row>
    <row r="81" spans="2:18">
      <c r="B81" s="33" t="s">
        <v>71</v>
      </c>
      <c r="G81" s="35">
        <f ca="1">IRR(G76:R76)</f>
        <v>9.3268672004557462E-2</v>
      </c>
    </row>
    <row r="82" spans="2:18" ht="16" thickBot="1">
      <c r="B82" s="36" t="s">
        <v>72</v>
      </c>
      <c r="C82" s="37"/>
      <c r="D82" s="37"/>
      <c r="E82" s="37"/>
      <c r="F82" s="37"/>
      <c r="G82" s="38">
        <f ca="1">(G78/-G76)+1</f>
        <v>1.9043134280204044</v>
      </c>
    </row>
    <row r="84" spans="2:18">
      <c r="B84" s="3" t="s">
        <v>73</v>
      </c>
      <c r="G84" s="8">
        <f>G37</f>
        <v>30199000</v>
      </c>
    </row>
    <row r="85" spans="2:18">
      <c r="B85" s="3" t="s">
        <v>74</v>
      </c>
      <c r="H85" s="8">
        <f t="shared" ref="H85:R85" si="21">IF(H40=$G$30,FV($G$35/12,H40*12,$G$38,$G$37),0)</f>
        <v>0</v>
      </c>
      <c r="I85" s="8">
        <f t="shared" si="21"/>
        <v>0</v>
      </c>
      <c r="J85" s="8">
        <f t="shared" si="21"/>
        <v>0</v>
      </c>
      <c r="K85" s="8">
        <f t="shared" si="21"/>
        <v>0</v>
      </c>
      <c r="L85" s="8">
        <f t="shared" si="21"/>
        <v>0</v>
      </c>
      <c r="M85" s="8">
        <f t="shared" si="21"/>
        <v>0</v>
      </c>
      <c r="N85" s="8">
        <f t="shared" si="21"/>
        <v>0</v>
      </c>
      <c r="O85" s="8">
        <f t="shared" si="21"/>
        <v>-25926715.424128044</v>
      </c>
      <c r="P85" s="8">
        <f t="shared" si="21"/>
        <v>0</v>
      </c>
      <c r="Q85" s="8">
        <f t="shared" si="21"/>
        <v>0</v>
      </c>
      <c r="R85" s="8">
        <f t="shared" si="21"/>
        <v>0</v>
      </c>
    </row>
    <row r="86" spans="2:18">
      <c r="B86" s="3" t="s">
        <v>75</v>
      </c>
      <c r="H86" s="8">
        <f t="shared" ref="H86:R86" si="22">IF(H40&lt;=$G$30,$G$38*12,0)</f>
        <v>-1945377.1432012303</v>
      </c>
      <c r="I86" s="8">
        <f t="shared" si="22"/>
        <v>-1945377.1432012303</v>
      </c>
      <c r="J86" s="8">
        <f t="shared" si="22"/>
        <v>-1945377.1432012303</v>
      </c>
      <c r="K86" s="8">
        <f t="shared" si="22"/>
        <v>-1945377.1432012303</v>
      </c>
      <c r="L86" s="8">
        <f t="shared" si="22"/>
        <v>-1945377.1432012303</v>
      </c>
      <c r="M86" s="8">
        <f t="shared" si="22"/>
        <v>-1945377.1432012303</v>
      </c>
      <c r="N86" s="8">
        <f t="shared" si="22"/>
        <v>-1945377.1432012303</v>
      </c>
      <c r="O86" s="8">
        <f t="shared" si="22"/>
        <v>-1945377.1432012303</v>
      </c>
      <c r="P86" s="8">
        <f t="shared" si="22"/>
        <v>0</v>
      </c>
      <c r="Q86" s="8">
        <f t="shared" si="22"/>
        <v>0</v>
      </c>
      <c r="R86" s="8">
        <f t="shared" si="22"/>
        <v>0</v>
      </c>
    </row>
    <row r="87" spans="2:18">
      <c r="B87" s="41" t="s">
        <v>438</v>
      </c>
      <c r="H87" s="219">
        <f>SUM(H85:H86)</f>
        <v>-1945377.1432012303</v>
      </c>
      <c r="I87" s="219">
        <f t="shared" ref="I87:Q87" si="23">SUM(I85:I86)</f>
        <v>-1945377.1432012303</v>
      </c>
      <c r="J87" s="219">
        <f t="shared" si="23"/>
        <v>-1945377.1432012303</v>
      </c>
      <c r="K87" s="219">
        <f t="shared" si="23"/>
        <v>-1945377.1432012303</v>
      </c>
      <c r="L87" s="219">
        <f t="shared" si="23"/>
        <v>-1945377.1432012303</v>
      </c>
      <c r="M87" s="219">
        <f t="shared" si="23"/>
        <v>-1945377.1432012303</v>
      </c>
      <c r="N87" s="219">
        <f t="shared" si="23"/>
        <v>-1945377.1432012303</v>
      </c>
      <c r="O87" s="219">
        <f t="shared" si="23"/>
        <v>-27872092.567329276</v>
      </c>
      <c r="P87" s="219">
        <f t="shared" si="23"/>
        <v>0</v>
      </c>
      <c r="Q87" s="219">
        <f t="shared" si="23"/>
        <v>0</v>
      </c>
    </row>
    <row r="88" spans="2:18">
      <c r="B88" s="3" t="s">
        <v>76</v>
      </c>
      <c r="G88" s="8">
        <f t="shared" ref="G88:R88" si="24">IF(G40&lt;=$G$30,SUM(G76,G84:G86),0)</f>
        <v>-16261000</v>
      </c>
      <c r="H88" s="8">
        <f t="shared" ca="1" si="24"/>
        <v>-678973.5534787497</v>
      </c>
      <c r="I88" s="8">
        <f t="shared" ca="1" si="24"/>
        <v>-294661.15601496422</v>
      </c>
      <c r="J88" s="8">
        <f t="shared" ca="1" si="24"/>
        <v>101180.61337273358</v>
      </c>
      <c r="K88" s="8">
        <f t="shared" ca="1" si="24"/>
        <v>508897.63584206603</v>
      </c>
      <c r="L88" s="8">
        <f t="shared" ca="1" si="24"/>
        <v>928846.16898547648</v>
      </c>
      <c r="M88" s="8">
        <f t="shared" ca="1" si="24"/>
        <v>1361393.1581231856</v>
      </c>
      <c r="N88" s="8">
        <f t="shared" ca="1" si="24"/>
        <v>1806916.5569350326</v>
      </c>
      <c r="O88" s="8">
        <f t="shared" ca="1" si="24"/>
        <v>43251069.872325316</v>
      </c>
      <c r="P88" s="8">
        <f t="shared" si="24"/>
        <v>0</v>
      </c>
      <c r="Q88" s="8">
        <f t="shared" si="24"/>
        <v>0</v>
      </c>
      <c r="R88" s="8">
        <f t="shared" si="24"/>
        <v>0</v>
      </c>
    </row>
    <row r="89" spans="2:18" ht="16" thickBot="1"/>
    <row r="90" spans="2:18">
      <c r="B90" s="30" t="s">
        <v>68</v>
      </c>
      <c r="C90" s="31"/>
      <c r="D90" s="31"/>
      <c r="E90" s="31"/>
      <c r="F90" s="31"/>
      <c r="G90" s="32">
        <f ca="1">SUM(G88:R88)</f>
        <v>30723669.296090096</v>
      </c>
    </row>
    <row r="91" spans="2:18">
      <c r="B91" s="33" t="s">
        <v>69</v>
      </c>
      <c r="G91" s="34">
        <f ca="1">NPV($L$26,H88:R88)</f>
        <v>25484663.166538585</v>
      </c>
    </row>
    <row r="92" spans="2:18">
      <c r="B92" s="33" t="s">
        <v>70</v>
      </c>
      <c r="G92" s="34">
        <f ca="1">G91+G88</f>
        <v>9223663.166538585</v>
      </c>
    </row>
    <row r="93" spans="2:18">
      <c r="B93" s="33" t="s">
        <v>77</v>
      </c>
      <c r="G93" s="39">
        <f ca="1">IRR(G88:R88)</f>
        <v>0.14236508323439123</v>
      </c>
    </row>
    <row r="94" spans="2:18" ht="16" thickBot="1">
      <c r="B94" s="36" t="s">
        <v>72</v>
      </c>
      <c r="C94" s="37"/>
      <c r="D94" s="37"/>
      <c r="E94" s="37"/>
      <c r="F94" s="37"/>
      <c r="G94" s="38">
        <f ca="1">(G90/-G88)+1</f>
        <v>2.8894083571791462</v>
      </c>
    </row>
    <row r="96" spans="2:18">
      <c r="B96" s="46"/>
      <c r="C96"/>
      <c r="D96"/>
      <c r="E96"/>
      <c r="F96"/>
      <c r="G96"/>
      <c r="H96"/>
      <c r="I96"/>
      <c r="J96"/>
      <c r="K96" s="46"/>
      <c r="L96" s="46"/>
      <c r="M96" s="46"/>
      <c r="N96" s="46"/>
      <c r="O96" s="46"/>
      <c r="P96" s="56"/>
      <c r="Q96" s="46"/>
      <c r="R96" s="46"/>
    </row>
    <row r="97" spans="3:16">
      <c r="C97"/>
      <c r="D97"/>
      <c r="E97"/>
      <c r="F97"/>
      <c r="G97"/>
      <c r="H97"/>
      <c r="I97"/>
      <c r="J97"/>
      <c r="P97" s="3"/>
    </row>
    <row r="98" spans="3:16">
      <c r="C98"/>
      <c r="D98"/>
      <c r="E98"/>
      <c r="F98"/>
      <c r="G98"/>
      <c r="H98"/>
      <c r="I98"/>
      <c r="J98"/>
      <c r="P98" s="3"/>
    </row>
    <row r="99" spans="3:16">
      <c r="C99"/>
      <c r="D99"/>
      <c r="E99"/>
      <c r="F99"/>
      <c r="G99"/>
      <c r="H99"/>
      <c r="I99"/>
      <c r="J99"/>
      <c r="P99" s="3"/>
    </row>
    <row r="100" spans="3:16">
      <c r="C100"/>
      <c r="D100"/>
      <c r="E100"/>
      <c r="F100"/>
      <c r="G100"/>
      <c r="H100"/>
      <c r="I100"/>
      <c r="J100"/>
      <c r="P100" s="3"/>
    </row>
    <row r="101" spans="3:16">
      <c r="C101"/>
      <c r="D101"/>
      <c r="E101"/>
      <c r="F101"/>
      <c r="G101"/>
      <c r="H101"/>
      <c r="I101"/>
      <c r="J101"/>
      <c r="K101" s="26"/>
      <c r="P101" s="3"/>
    </row>
    <row r="102" spans="3:16">
      <c r="C102"/>
      <c r="D102"/>
      <c r="E102"/>
      <c r="F102"/>
      <c r="G102"/>
      <c r="H102"/>
      <c r="I102"/>
      <c r="J102"/>
      <c r="P102" s="3"/>
    </row>
    <row r="103" spans="3:16">
      <c r="C103"/>
      <c r="D103"/>
      <c r="E103"/>
      <c r="F103"/>
      <c r="G103"/>
      <c r="H103"/>
      <c r="I103"/>
      <c r="J103"/>
      <c r="P103" s="3"/>
    </row>
  </sheetData>
  <pageMargins left="0.7" right="0.7" top="0.75" bottom="0.75" header="0.3" footer="0.3"/>
  <pageSetup scale="44" orientation="portrait" r:id="rId1"/>
  <headerFooter>
    <oddHeader xml:space="preserve">&amp;L2019 ULI Hines Student Competition&amp;R2019-331 &amp;A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850A-36B7-45CD-9979-2BF9DF1701AB}">
  <sheetPr>
    <tabColor theme="7"/>
  </sheetPr>
  <dimension ref="B5:AA24"/>
  <sheetViews>
    <sheetView workbookViewId="0">
      <selection activeCell="W30" sqref="W30"/>
    </sheetView>
  </sheetViews>
  <sheetFormatPr baseColWidth="10" defaultColWidth="9.1640625" defaultRowHeight="15"/>
  <cols>
    <col min="1" max="1" width="3.5" style="435" customWidth="1"/>
    <col min="2" max="2" width="20.5" style="435" bestFit="1" customWidth="1"/>
    <col min="3" max="3" width="3.5" style="435" customWidth="1"/>
    <col min="4" max="4" width="16.33203125" style="435" bestFit="1" customWidth="1"/>
    <col min="5" max="5" width="3.5" style="435" customWidth="1"/>
    <col min="6" max="6" width="20.5" style="435" bestFit="1" customWidth="1"/>
    <col min="7" max="7" width="3.5" style="435" customWidth="1"/>
    <col min="8" max="8" width="16.33203125" style="435" bestFit="1" customWidth="1"/>
    <col min="9" max="9" width="3.5" style="435" customWidth="1"/>
    <col min="10" max="10" width="20.5" style="435" bestFit="1" customWidth="1"/>
    <col min="11" max="11" width="3.5" style="435" customWidth="1"/>
    <col min="12" max="12" width="16.33203125" style="435" bestFit="1" customWidth="1"/>
    <col min="13" max="13" width="9.1640625" style="435"/>
    <col min="14" max="14" width="17.5" style="435" bestFit="1" customWidth="1"/>
    <col min="15" max="15" width="3.5" style="435" customWidth="1"/>
    <col min="16" max="17" width="13.5" style="438" customWidth="1"/>
    <col min="18" max="18" width="9.1640625" style="435" customWidth="1"/>
    <col min="19" max="19" width="17.5" style="435" bestFit="1" customWidth="1"/>
    <col min="20" max="20" width="3.5" style="435" customWidth="1"/>
    <col min="21" max="22" width="13.5" style="435" customWidth="1"/>
    <col min="23" max="23" width="9.1640625" style="435"/>
    <col min="24" max="24" width="17.5" style="435" bestFit="1" customWidth="1"/>
    <col min="25" max="25" width="3.5" style="435" customWidth="1"/>
    <col min="26" max="27" width="13.5" style="435" customWidth="1"/>
    <col min="28" max="16384" width="9.1640625" style="435"/>
  </cols>
  <sheetData>
    <row r="5" spans="2:27">
      <c r="B5" s="434" t="s">
        <v>458</v>
      </c>
      <c r="C5" s="434"/>
      <c r="D5" s="434"/>
      <c r="E5" s="434"/>
      <c r="F5" s="434" t="s">
        <v>462</v>
      </c>
      <c r="G5" s="434"/>
      <c r="H5" s="434"/>
      <c r="I5" s="434"/>
      <c r="J5" s="434" t="s">
        <v>463</v>
      </c>
      <c r="N5" s="434" t="s">
        <v>464</v>
      </c>
      <c r="S5" s="434" t="s">
        <v>472</v>
      </c>
      <c r="U5" s="438"/>
      <c r="V5" s="438"/>
      <c r="X5" s="434" t="s">
        <v>474</v>
      </c>
      <c r="Z5" s="438"/>
      <c r="AA5" s="438"/>
    </row>
    <row r="6" spans="2:27">
      <c r="U6" s="438"/>
      <c r="V6" s="438"/>
      <c r="Z6" s="438"/>
      <c r="AA6" s="438"/>
    </row>
    <row r="7" spans="2:27">
      <c r="B7" s="435" t="s">
        <v>459</v>
      </c>
      <c r="D7" s="436">
        <f ca="1">'Summary Board PH1'!G80</f>
        <v>122133395.24283285</v>
      </c>
      <c r="F7" s="435" t="s">
        <v>459</v>
      </c>
      <c r="H7" s="436">
        <f ca="1">'Summary Board PH2'!G80</f>
        <v>325188639.5435853</v>
      </c>
      <c r="J7" s="435" t="s">
        <v>459</v>
      </c>
      <c r="L7" s="436">
        <f ca="1">'Summary Board'!G80</f>
        <v>447322034.78641814</v>
      </c>
      <c r="N7" s="434" t="s">
        <v>468</v>
      </c>
      <c r="O7" s="434"/>
      <c r="P7" s="444" t="s">
        <v>358</v>
      </c>
      <c r="Q7" s="444" t="s">
        <v>411</v>
      </c>
      <c r="S7" s="434" t="s">
        <v>468</v>
      </c>
      <c r="T7" s="434"/>
      <c r="U7" s="444" t="s">
        <v>358</v>
      </c>
      <c r="V7" s="444" t="s">
        <v>411</v>
      </c>
      <c r="X7" s="434" t="s">
        <v>468</v>
      </c>
      <c r="Y7" s="434"/>
      <c r="Z7" s="444" t="s">
        <v>358</v>
      </c>
      <c r="AA7" s="444" t="s">
        <v>411</v>
      </c>
    </row>
    <row r="8" spans="2:27">
      <c r="B8" s="435" t="s">
        <v>460</v>
      </c>
      <c r="D8" s="437">
        <f ca="1">'Summary Board PH1'!D39</f>
        <v>0.1023924753776384</v>
      </c>
      <c r="F8" s="435" t="s">
        <v>460</v>
      </c>
      <c r="H8" s="437">
        <f ca="1">'Summary Board PH2'!D39</f>
        <v>9.8735514209795872E-2</v>
      </c>
      <c r="J8" s="435" t="s">
        <v>460</v>
      </c>
      <c r="L8" s="437">
        <f ca="1">'Summary Board'!D39</f>
        <v>0.10004056790305893</v>
      </c>
      <c r="U8" s="438"/>
      <c r="V8" s="438"/>
      <c r="Z8" s="438"/>
      <c r="AA8" s="438"/>
    </row>
    <row r="9" spans="2:27">
      <c r="B9" s="435" t="s">
        <v>461</v>
      </c>
      <c r="D9" s="437">
        <f ca="1">'Summary Board PH1'!D40</f>
        <v>0.1833259738194073</v>
      </c>
      <c r="F9" s="435" t="s">
        <v>461</v>
      </c>
      <c r="H9" s="437">
        <f ca="1">'Summary Board PH2'!D40</f>
        <v>0.17741693848552242</v>
      </c>
      <c r="J9" s="435" t="s">
        <v>461</v>
      </c>
      <c r="L9" s="437">
        <f ca="1">'Summary Board'!D40</f>
        <v>0.17968061081616282</v>
      </c>
      <c r="N9" s="435" t="s">
        <v>34</v>
      </c>
      <c r="P9" s="439">
        <f ca="1">'Summary Board PH1'!M81</f>
        <v>42187582.236050107</v>
      </c>
      <c r="Q9" s="440">
        <f ca="1">P9/P13</f>
        <v>0.34542216854096508</v>
      </c>
      <c r="S9" s="435" t="s">
        <v>34</v>
      </c>
      <c r="U9" s="439">
        <f ca="1">'Summary Board PH2'!M81</f>
        <v>108778491.76660937</v>
      </c>
      <c r="V9" s="440">
        <f ca="1">U9/U13</f>
        <v>0.33450889280537027</v>
      </c>
      <c r="X9" s="435" t="s">
        <v>34</v>
      </c>
      <c r="Z9" s="439">
        <f ca="1">P9+U9</f>
        <v>150966074.00265947</v>
      </c>
      <c r="AA9" s="440">
        <f ca="1">Z9/Z13</f>
        <v>0.33748857034226115</v>
      </c>
    </row>
    <row r="10" spans="2:27">
      <c r="N10" s="435" t="s">
        <v>98</v>
      </c>
      <c r="P10" s="439">
        <f ca="1">'Summary Board PH1'!M82</f>
        <v>790082.36108025361</v>
      </c>
      <c r="Q10" s="440">
        <f ca="1">P10/P13</f>
        <v>6.4690116860287488E-3</v>
      </c>
      <c r="S10" s="435" t="s">
        <v>98</v>
      </c>
      <c r="U10" s="439">
        <f ca="1">'Summary Board PH2'!M82</f>
        <v>5908341.3455360653</v>
      </c>
      <c r="V10" s="440">
        <f ca="1">U10/U13</f>
        <v>1.8168966031004798E-2</v>
      </c>
      <c r="X10" s="435" t="s">
        <v>98</v>
      </c>
      <c r="Z10" s="439">
        <f t="shared" ref="Z10:Z11" ca="1" si="0">P10+U10</f>
        <v>6698423.7066163188</v>
      </c>
      <c r="AA10" s="440">
        <f ca="1">Z10/Z13</f>
        <v>1.4974499769086047E-2</v>
      </c>
    </row>
    <row r="11" spans="2:27">
      <c r="N11" s="435" t="s">
        <v>465</v>
      </c>
      <c r="P11" s="439">
        <f ca="1">'Summary Board PH1'!M83</f>
        <v>79155730.645702481</v>
      </c>
      <c r="Q11" s="440">
        <f ca="1">P11/P13</f>
        <v>0.64810881977300616</v>
      </c>
      <c r="S11" s="435" t="s">
        <v>465</v>
      </c>
      <c r="U11" s="439">
        <f ca="1">'Summary Board PH2'!M83</f>
        <v>210501806.43143988</v>
      </c>
      <c r="V11" s="440">
        <f ca="1">U11/U13</f>
        <v>0.64732214116362496</v>
      </c>
      <c r="X11" s="435" t="s">
        <v>465</v>
      </c>
      <c r="Z11" s="439">
        <f t="shared" ca="1" si="0"/>
        <v>289657537.07714236</v>
      </c>
      <c r="AA11" s="440">
        <f ca="1">Z11/Z13</f>
        <v>0.64753692988865286</v>
      </c>
    </row>
    <row r="12" spans="2:27">
      <c r="P12" s="439"/>
      <c r="Q12" s="440"/>
      <c r="U12" s="439"/>
      <c r="V12" s="440"/>
      <c r="Z12" s="439"/>
      <c r="AA12" s="440"/>
    </row>
    <row r="13" spans="2:27">
      <c r="N13" s="434" t="s">
        <v>120</v>
      </c>
      <c r="O13" s="434"/>
      <c r="P13" s="442">
        <f ca="1">SUM(P9:P11)</f>
        <v>122133395.24283284</v>
      </c>
      <c r="Q13" s="443">
        <f ca="1">SUM(Q9:Q11)</f>
        <v>1</v>
      </c>
      <c r="S13" s="434" t="s">
        <v>120</v>
      </c>
      <c r="T13" s="434"/>
      <c r="U13" s="442">
        <f ca="1">SUM(U9:U11)</f>
        <v>325188639.5435853</v>
      </c>
      <c r="V13" s="443">
        <f ca="1">SUM(V9:V11)</f>
        <v>1</v>
      </c>
      <c r="X13" s="434" t="s">
        <v>120</v>
      </c>
      <c r="Y13" s="434"/>
      <c r="Z13" s="442">
        <f ca="1">SUM(Z9:Z11)</f>
        <v>447322034.78641814</v>
      </c>
      <c r="AA13" s="443">
        <f ca="1">SUM(AA9:AA11)</f>
        <v>1</v>
      </c>
    </row>
    <row r="14" spans="2:27">
      <c r="U14" s="438"/>
      <c r="V14" s="438"/>
      <c r="Z14" s="438"/>
      <c r="AA14" s="438"/>
    </row>
    <row r="15" spans="2:27">
      <c r="N15" s="434" t="s">
        <v>467</v>
      </c>
      <c r="S15" s="434" t="s">
        <v>473</v>
      </c>
      <c r="U15" s="438"/>
      <c r="V15" s="438"/>
      <c r="X15" s="434" t="s">
        <v>475</v>
      </c>
      <c r="Z15" s="438"/>
      <c r="AA15" s="438"/>
    </row>
    <row r="16" spans="2:27">
      <c r="U16" s="438"/>
      <c r="V16" s="438"/>
      <c r="Z16" s="438"/>
      <c r="AA16" s="438"/>
    </row>
    <row r="17" spans="14:27">
      <c r="N17" s="434" t="s">
        <v>466</v>
      </c>
      <c r="O17" s="434"/>
      <c r="P17" s="444" t="s">
        <v>358</v>
      </c>
      <c r="Q17" s="444" t="s">
        <v>411</v>
      </c>
      <c r="S17" s="434" t="s">
        <v>466</v>
      </c>
      <c r="T17" s="434"/>
      <c r="U17" s="444" t="s">
        <v>358</v>
      </c>
      <c r="V17" s="444" t="s">
        <v>411</v>
      </c>
      <c r="X17" s="434" t="s">
        <v>466</v>
      </c>
      <c r="Y17" s="434"/>
      <c r="Z17" s="444" t="s">
        <v>358</v>
      </c>
      <c r="AA17" s="444" t="s">
        <v>411</v>
      </c>
    </row>
    <row r="18" spans="14:27">
      <c r="U18" s="438"/>
      <c r="V18" s="438"/>
      <c r="Z18" s="438"/>
      <c r="AA18" s="438"/>
    </row>
    <row r="19" spans="14:27">
      <c r="N19" s="435" t="s">
        <v>469</v>
      </c>
      <c r="P19" s="439">
        <f ca="1">'Summary Board PH1'!G82</f>
        <v>116637106.9177288</v>
      </c>
      <c r="Q19" s="440">
        <f ca="1">P19/P24</f>
        <v>0.95499766207124581</v>
      </c>
      <c r="S19" s="435" t="s">
        <v>469</v>
      </c>
      <c r="U19" s="439">
        <f ca="1">'Summary Board PH2'!G82</f>
        <v>303097309.33120006</v>
      </c>
      <c r="V19" s="440">
        <f ca="1">U19/U24</f>
        <v>0.93206610709589588</v>
      </c>
      <c r="X19" s="435" t="s">
        <v>469</v>
      </c>
      <c r="Z19" s="439">
        <f t="shared" ref="Z19:Z22" ca="1" si="1">P19+U19</f>
        <v>419734416.24892884</v>
      </c>
      <c r="AA19" s="440">
        <f ca="1">Z19/Z24</f>
        <v>0.93832716389510862</v>
      </c>
    </row>
    <row r="20" spans="14:27">
      <c r="N20" s="435" t="s">
        <v>187</v>
      </c>
      <c r="P20" s="439">
        <f ca="1">'Summary Board PH1'!G83</f>
        <v>3037046.7880462934</v>
      </c>
      <c r="Q20" s="440">
        <f ca="1">P20/P24</f>
        <v>2.4866636860523341E-2</v>
      </c>
      <c r="S20" s="435" t="s">
        <v>187</v>
      </c>
      <c r="U20" s="439">
        <f ca="1">'Summary Board PH2'!G83</f>
        <v>6962953.211953708</v>
      </c>
      <c r="V20" s="440">
        <f ca="1">U20/U24</f>
        <v>2.1412043242735906E-2</v>
      </c>
      <c r="X20" s="435" t="s">
        <v>187</v>
      </c>
      <c r="Z20" s="439">
        <f t="shared" ca="1" si="1"/>
        <v>10000000.000000002</v>
      </c>
      <c r="AA20" s="440">
        <f ca="1">Z20/Z24</f>
        <v>2.2355259125061165E-2</v>
      </c>
    </row>
    <row r="21" spans="14:27">
      <c r="N21" s="435" t="s">
        <v>470</v>
      </c>
      <c r="P21" s="439">
        <f ca="1">'Summary Board PH1'!G84</f>
        <v>1250000</v>
      </c>
      <c r="Q21" s="440">
        <f ca="1">P21/P24</f>
        <v>1.0234710969220793E-2</v>
      </c>
      <c r="S21" s="435" t="s">
        <v>470</v>
      </c>
      <c r="U21" s="439">
        <f ca="1">'Summary Board PH2'!G84</f>
        <v>11908687.5</v>
      </c>
      <c r="V21" s="440">
        <f ca="1">U21/U24</f>
        <v>3.6620859562358325E-2</v>
      </c>
      <c r="X21" s="435" t="s">
        <v>470</v>
      </c>
      <c r="Z21" s="439">
        <f t="shared" ca="1" si="1"/>
        <v>13158687.5</v>
      </c>
      <c r="AA21" s="440">
        <f ca="1">Z21/Z24</f>
        <v>2.9416586880820324E-2</v>
      </c>
    </row>
    <row r="22" spans="14:27">
      <c r="N22" s="435" t="s">
        <v>471</v>
      </c>
      <c r="P22" s="439">
        <f ca="1">'Summary Board PH1'!G85</f>
        <v>1209241.5370577509</v>
      </c>
      <c r="Q22" s="440">
        <f ca="1">P22/P24</f>
        <v>9.9009900990098994E-3</v>
      </c>
      <c r="S22" s="435" t="s">
        <v>471</v>
      </c>
      <c r="U22" s="439">
        <f ca="1">'Summary Board PH2'!G85</f>
        <v>3219689.5004315376</v>
      </c>
      <c r="V22" s="440">
        <f ca="1">U22/U24</f>
        <v>9.9009900990099011E-3</v>
      </c>
      <c r="X22" s="435" t="s">
        <v>471</v>
      </c>
      <c r="Z22" s="439">
        <f t="shared" ca="1" si="1"/>
        <v>4428931.0374892885</v>
      </c>
      <c r="AA22" s="440">
        <f ca="1">Z22/Z24</f>
        <v>9.9009900990099011E-3</v>
      </c>
    </row>
    <row r="23" spans="14:27">
      <c r="P23" s="439"/>
      <c r="Q23" s="440"/>
      <c r="U23" s="439"/>
      <c r="V23" s="440"/>
      <c r="Z23" s="439"/>
      <c r="AA23" s="440"/>
    </row>
    <row r="24" spans="14:27">
      <c r="N24" s="434" t="s">
        <v>45</v>
      </c>
      <c r="O24" s="434"/>
      <c r="P24" s="442">
        <f ca="1">SUM(P19:P22)</f>
        <v>122133395.24283285</v>
      </c>
      <c r="Q24" s="443">
        <f ca="1">SUM(Q19:Q22)</f>
        <v>0.99999999999999989</v>
      </c>
      <c r="S24" s="434" t="s">
        <v>45</v>
      </c>
      <c r="T24" s="434"/>
      <c r="U24" s="442">
        <f ca="1">SUM(U19:U22)</f>
        <v>325188639.5435853</v>
      </c>
      <c r="V24" s="443">
        <f ca="1">SUM(V19:V22)</f>
        <v>1</v>
      </c>
      <c r="X24" s="434" t="s">
        <v>45</v>
      </c>
      <c r="Y24" s="434"/>
      <c r="Z24" s="442">
        <f ca="1">SUM(Z19:Z22)</f>
        <v>447322034.78641814</v>
      </c>
      <c r="AA24" s="443">
        <f ca="1">SUM(AA19:AA22)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E12CC-4502-4137-82A2-3B93B646336C}">
  <sheetPr>
    <tabColor rgb="FFFF0000"/>
  </sheetPr>
  <dimension ref="B2:X1006"/>
  <sheetViews>
    <sheetView view="pageBreakPreview" topLeftCell="A28" zoomScale="90" zoomScaleNormal="40" zoomScaleSheetLayoutView="90" workbookViewId="0">
      <selection activeCell="H40" sqref="H40"/>
    </sheetView>
  </sheetViews>
  <sheetFormatPr baseColWidth="10" defaultColWidth="14.5" defaultRowHeight="15" customHeight="1"/>
  <cols>
    <col min="1" max="1" width="3.6640625" style="128" customWidth="1"/>
    <col min="2" max="2" width="8.6640625" style="128" customWidth="1"/>
    <col min="3" max="3" width="17.5" style="128" bestFit="1" customWidth="1"/>
    <col min="4" max="9" width="15.33203125" style="128" customWidth="1"/>
    <col min="10" max="10" width="3.5" style="128" customWidth="1"/>
    <col min="11" max="11" width="8.6640625" style="128" customWidth="1"/>
    <col min="12" max="12" width="3.5" style="128" customWidth="1"/>
    <col min="13" max="20" width="9.5" style="128" customWidth="1"/>
    <col min="21" max="22" width="12.6640625" style="128" customWidth="1"/>
    <col min="23" max="24" width="9.5" style="128" customWidth="1"/>
    <col min="25" max="27" width="8.6640625" style="128" customWidth="1"/>
    <col min="28" max="16384" width="14.5" style="128"/>
  </cols>
  <sheetData>
    <row r="2" spans="2:22" ht="15" customHeight="1">
      <c r="S2" s="307" t="s">
        <v>374</v>
      </c>
      <c r="T2" s="129">
        <v>180</v>
      </c>
      <c r="V2" s="135" t="s">
        <v>187</v>
      </c>
    </row>
    <row r="3" spans="2:22" ht="15" customHeight="1">
      <c r="S3" s="307" t="s">
        <v>11</v>
      </c>
      <c r="T3" s="130">
        <v>0.8</v>
      </c>
      <c r="U3" s="307" t="s">
        <v>434</v>
      </c>
      <c r="V3" s="306">
        <v>25</v>
      </c>
    </row>
    <row r="5" spans="2:22" ht="14">
      <c r="B5" s="131" t="s">
        <v>304</v>
      </c>
      <c r="C5" s="132" t="s">
        <v>188</v>
      </c>
      <c r="D5" s="132" t="s">
        <v>375</v>
      </c>
      <c r="E5" s="132" t="s">
        <v>376</v>
      </c>
      <c r="F5" s="132" t="s">
        <v>377</v>
      </c>
      <c r="G5" s="132" t="s">
        <v>378</v>
      </c>
      <c r="H5" s="132" t="s">
        <v>322</v>
      </c>
      <c r="I5" s="132" t="s">
        <v>267</v>
      </c>
      <c r="J5" s="132"/>
      <c r="K5" s="132" t="s">
        <v>379</v>
      </c>
      <c r="M5" s="133" t="s">
        <v>304</v>
      </c>
      <c r="N5" s="133" t="s">
        <v>305</v>
      </c>
      <c r="O5" s="133"/>
      <c r="P5" s="134" t="s">
        <v>8</v>
      </c>
      <c r="Q5" s="134" t="s">
        <v>428</v>
      </c>
      <c r="R5" s="134" t="s">
        <v>267</v>
      </c>
      <c r="S5" s="134" t="s">
        <v>37</v>
      </c>
      <c r="T5" s="134" t="s">
        <v>380</v>
      </c>
      <c r="U5" s="134" t="s">
        <v>429</v>
      </c>
      <c r="V5" s="134" t="s">
        <v>187</v>
      </c>
    </row>
    <row r="6" spans="2:22" ht="14">
      <c r="B6" s="135">
        <v>2</v>
      </c>
      <c r="C6" s="136" t="s">
        <v>381</v>
      </c>
      <c r="D6" s="137"/>
      <c r="E6" s="137">
        <v>106866</v>
      </c>
      <c r="F6" s="137">
        <v>17184</v>
      </c>
      <c r="G6" s="137"/>
      <c r="H6" s="137"/>
      <c r="I6" s="137">
        <v>40780</v>
      </c>
      <c r="J6" s="135"/>
      <c r="K6" s="138">
        <f t="shared" ref="K6:K26" si="0">SUM(D6:J6)</f>
        <v>164830</v>
      </c>
      <c r="M6" s="128" t="s">
        <v>314</v>
      </c>
      <c r="N6" s="128" t="s">
        <v>375</v>
      </c>
      <c r="P6" s="138">
        <f ca="1">D31</f>
        <v>132776</v>
      </c>
      <c r="Q6" s="266">
        <f ca="1">P6/$P$11</f>
        <v>0.28108057758951005</v>
      </c>
      <c r="R6" s="138">
        <f>D40</f>
        <v>94578</v>
      </c>
      <c r="S6" s="138">
        <f t="shared" ref="S6:S8" ca="1" si="1">P6+R6</f>
        <v>227354</v>
      </c>
      <c r="T6" s="139">
        <f>(R6*$T$3)/$T$2</f>
        <v>420.34666666666669</v>
      </c>
      <c r="U6" s="269">
        <f ca="1">Q6*Parcels!$G$49</f>
        <v>351350.72198688757</v>
      </c>
      <c r="V6" s="269">
        <f ca="1">Q6*$D$51*$V$3</f>
        <v>853654.86535041837</v>
      </c>
    </row>
    <row r="7" spans="2:22" ht="14">
      <c r="B7" s="135">
        <v>2</v>
      </c>
      <c r="C7" s="136" t="s">
        <v>382</v>
      </c>
      <c r="D7" s="137"/>
      <c r="E7" s="137">
        <v>34609</v>
      </c>
      <c r="F7" s="137">
        <v>13458</v>
      </c>
      <c r="G7" s="137"/>
      <c r="H7" s="137"/>
      <c r="I7" s="137">
        <v>15571</v>
      </c>
      <c r="J7" s="135"/>
      <c r="K7" s="138">
        <f t="shared" si="0"/>
        <v>63638</v>
      </c>
      <c r="M7" s="128" t="s">
        <v>314</v>
      </c>
      <c r="N7" s="128" t="s">
        <v>383</v>
      </c>
      <c r="O7" s="130">
        <f>1-O8</f>
        <v>0.85</v>
      </c>
      <c r="P7" s="138">
        <f ca="1">E31*O7</f>
        <v>116102.34999999999</v>
      </c>
      <c r="Q7" s="266">
        <f ca="1">P7/$P$11</f>
        <v>0.24578324092832629</v>
      </c>
      <c r="R7" s="138">
        <f ca="1">I31/3</f>
        <v>18650.333333333332</v>
      </c>
      <c r="S7" s="138">
        <f t="shared" ca="1" si="1"/>
        <v>134752.68333333332</v>
      </c>
      <c r="T7" s="139">
        <f ca="1">(R7*$T$3)/$T$2</f>
        <v>82.890370370370363</v>
      </c>
      <c r="U7" s="269">
        <f ca="1">Q7*Parcels!$G$49</f>
        <v>307229.05116040783</v>
      </c>
      <c r="V7" s="269">
        <f ca="1">Q7*$D$51*$V$3</f>
        <v>746455.20241698157</v>
      </c>
    </row>
    <row r="8" spans="2:22" ht="14">
      <c r="B8" s="135">
        <v>2</v>
      </c>
      <c r="C8" s="136" t="s">
        <v>384</v>
      </c>
      <c r="D8" s="137"/>
      <c r="E8" s="137">
        <v>130838</v>
      </c>
      <c r="F8" s="137">
        <v>10175</v>
      </c>
      <c r="G8" s="137"/>
      <c r="H8" s="137"/>
      <c r="I8" s="137">
        <v>10175</v>
      </c>
      <c r="J8" s="135"/>
      <c r="K8" s="138">
        <f t="shared" si="0"/>
        <v>151188</v>
      </c>
      <c r="M8" s="128" t="s">
        <v>387</v>
      </c>
      <c r="N8" s="128" t="s">
        <v>436</v>
      </c>
      <c r="O8" s="411">
        <v>0.15</v>
      </c>
      <c r="P8" s="138">
        <f ca="1">E31*O8</f>
        <v>20488.649999999998</v>
      </c>
      <c r="Q8" s="266">
        <f ca="1">P8/$P$11</f>
        <v>4.3373513104998755E-2</v>
      </c>
      <c r="R8" s="138">
        <v>0</v>
      </c>
      <c r="S8" s="138">
        <f t="shared" ca="1" si="1"/>
        <v>20488.649999999998</v>
      </c>
      <c r="T8" s="139">
        <f>(R8*$T$3)/$T$2</f>
        <v>0</v>
      </c>
      <c r="U8" s="269">
        <f ca="1">Q8*Parcels!$G$49</f>
        <v>54216.891381248446</v>
      </c>
      <c r="V8" s="269">
        <f ca="1">Q8*$D$51*$V$3</f>
        <v>131727.3886618203</v>
      </c>
    </row>
    <row r="9" spans="2:22" ht="14">
      <c r="B9" s="135">
        <v>2</v>
      </c>
      <c r="C9" s="136" t="s">
        <v>386</v>
      </c>
      <c r="D9" s="137"/>
      <c r="E9" s="137">
        <v>36568</v>
      </c>
      <c r="F9" s="137">
        <v>16965</v>
      </c>
      <c r="G9" s="137"/>
      <c r="H9" s="137"/>
      <c r="I9" s="137">
        <v>16965</v>
      </c>
      <c r="J9" s="135"/>
      <c r="K9" s="138">
        <f t="shared" si="0"/>
        <v>70498</v>
      </c>
      <c r="M9" s="128" t="s">
        <v>314</v>
      </c>
      <c r="N9" s="128" t="s">
        <v>385</v>
      </c>
      <c r="P9" s="138">
        <f ca="1">F31</f>
        <v>81935</v>
      </c>
      <c r="Q9" s="266">
        <f ca="1">P9/$P$11</f>
        <v>0.17345256013734792</v>
      </c>
      <c r="R9" s="138">
        <f ca="1">I31/3</f>
        <v>18650.333333333332</v>
      </c>
      <c r="S9" s="138">
        <f ca="1">P9+R9</f>
        <v>100585.33333333333</v>
      </c>
      <c r="T9" s="139">
        <f ca="1">(R9*$T$3)/$T$2</f>
        <v>82.890370370370363</v>
      </c>
      <c r="U9" s="269">
        <f ca="1">Q9*Parcels!$G$49</f>
        <v>216815.7001716849</v>
      </c>
      <c r="V9" s="269">
        <f ca="1">Q9*$D$51*$V$3</f>
        <v>526783.54064353893</v>
      </c>
    </row>
    <row r="10" spans="2:22" ht="14">
      <c r="B10" s="135">
        <v>2</v>
      </c>
      <c r="C10" s="136" t="s">
        <v>388</v>
      </c>
      <c r="D10" s="137"/>
      <c r="E10" s="137">
        <v>66407</v>
      </c>
      <c r="F10" s="137">
        <v>17254</v>
      </c>
      <c r="G10" s="137"/>
      <c r="H10" s="137"/>
      <c r="I10" s="137">
        <v>20619</v>
      </c>
      <c r="J10" s="135"/>
      <c r="K10" s="138">
        <f t="shared" si="0"/>
        <v>104280</v>
      </c>
      <c r="M10" s="128" t="s">
        <v>387</v>
      </c>
      <c r="N10" s="128" t="s">
        <v>378</v>
      </c>
      <c r="P10" s="138">
        <f ca="1">G31</f>
        <v>121075</v>
      </c>
      <c r="Q10" s="266">
        <f ca="1">P10/$P$11</f>
        <v>0.25631010823981693</v>
      </c>
      <c r="R10" s="138">
        <f ca="1">I31/3</f>
        <v>18650.333333333332</v>
      </c>
      <c r="S10" s="138">
        <f ca="1">P10+R10</f>
        <v>139725.33333333334</v>
      </c>
      <c r="T10" s="139">
        <f ca="1">(R10*$T$3)/$T$2</f>
        <v>82.890370370370363</v>
      </c>
      <c r="U10" s="269">
        <f ca="1">Q10*Parcels!$G$49</f>
        <v>320387.63529977115</v>
      </c>
      <c r="V10" s="269">
        <f ca="1">Q10*$D$51*$V$3</f>
        <v>778425.79097353376</v>
      </c>
    </row>
    <row r="11" spans="2:22" ht="14">
      <c r="B11" s="135">
        <v>1</v>
      </c>
      <c r="C11" s="143" t="s">
        <v>389</v>
      </c>
      <c r="D11" s="137"/>
      <c r="E11" s="137">
        <v>42203</v>
      </c>
      <c r="F11" s="137">
        <v>17448</v>
      </c>
      <c r="G11" s="137"/>
      <c r="H11" s="137"/>
      <c r="I11" s="137">
        <v>26709</v>
      </c>
      <c r="J11" s="135"/>
      <c r="K11" s="138">
        <f t="shared" si="0"/>
        <v>86360</v>
      </c>
      <c r="M11" s="140" t="s">
        <v>37</v>
      </c>
      <c r="N11" s="140"/>
      <c r="O11" s="140"/>
      <c r="P11" s="141">
        <f ca="1">SUM(P6:P10)</f>
        <v>472377</v>
      </c>
      <c r="Q11" s="267">
        <f ca="1">SUM(Q6:Q10)</f>
        <v>0.99999999999999989</v>
      </c>
      <c r="R11" s="141">
        <f ca="1">SUM(R6:R10)</f>
        <v>150529</v>
      </c>
      <c r="S11" s="141">
        <f ca="1">P11+R11</f>
        <v>622906</v>
      </c>
      <c r="T11" s="142">
        <f ca="1">SUM(T6:T10)</f>
        <v>669.01777777777784</v>
      </c>
      <c r="U11" s="270">
        <f ca="1">SUM(U6:U10)</f>
        <v>1250000</v>
      </c>
      <c r="V11" s="270">
        <f ca="1">SUM(V6:V10)</f>
        <v>3037046.788046293</v>
      </c>
    </row>
    <row r="12" spans="2:22" ht="14">
      <c r="B12" s="135">
        <v>1</v>
      </c>
      <c r="C12" s="144" t="s">
        <v>390</v>
      </c>
      <c r="D12" s="137"/>
      <c r="E12" s="137">
        <v>55148</v>
      </c>
      <c r="F12" s="137">
        <v>11392</v>
      </c>
      <c r="G12" s="137"/>
      <c r="H12" s="137"/>
      <c r="I12" s="137">
        <v>29242</v>
      </c>
      <c r="J12" s="135"/>
      <c r="K12" s="138">
        <f t="shared" si="0"/>
        <v>95782</v>
      </c>
    </row>
    <row r="13" spans="2:22" ht="14">
      <c r="B13" s="135">
        <v>2</v>
      </c>
      <c r="C13" s="136" t="s">
        <v>391</v>
      </c>
      <c r="D13" s="137"/>
      <c r="E13" s="137">
        <v>90114</v>
      </c>
      <c r="F13" s="137">
        <v>19473</v>
      </c>
      <c r="G13" s="137"/>
      <c r="H13" s="137"/>
      <c r="I13" s="137"/>
      <c r="J13" s="135"/>
      <c r="K13" s="138">
        <f t="shared" si="0"/>
        <v>109587</v>
      </c>
    </row>
    <row r="14" spans="2:22" ht="14">
      <c r="B14" s="135">
        <v>1</v>
      </c>
      <c r="C14" s="143" t="s">
        <v>392</v>
      </c>
      <c r="D14" s="137"/>
      <c r="E14" s="137">
        <v>23079</v>
      </c>
      <c r="F14" s="137">
        <v>7693</v>
      </c>
      <c r="G14" s="137"/>
      <c r="H14" s="137"/>
      <c r="I14" s="137"/>
      <c r="J14" s="135"/>
      <c r="K14" s="138">
        <f t="shared" si="0"/>
        <v>30772</v>
      </c>
      <c r="M14" s="133" t="s">
        <v>304</v>
      </c>
      <c r="N14" s="133" t="s">
        <v>305</v>
      </c>
      <c r="O14" s="133"/>
      <c r="P14" s="134" t="s">
        <v>8</v>
      </c>
      <c r="Q14" s="134" t="s">
        <v>428</v>
      </c>
      <c r="R14" s="134" t="s">
        <v>267</v>
      </c>
      <c r="S14" s="134" t="s">
        <v>37</v>
      </c>
      <c r="T14" s="134" t="s">
        <v>380</v>
      </c>
      <c r="U14" s="134" t="s">
        <v>430</v>
      </c>
      <c r="V14" s="134" t="s">
        <v>187</v>
      </c>
    </row>
    <row r="15" spans="2:22" ht="14">
      <c r="B15" s="135">
        <v>1</v>
      </c>
      <c r="C15" s="143" t="s">
        <v>394</v>
      </c>
      <c r="D15" s="137"/>
      <c r="E15" s="137">
        <v>16161</v>
      </c>
      <c r="F15" s="137"/>
      <c r="G15" s="137"/>
      <c r="H15" s="137"/>
      <c r="I15" s="137"/>
      <c r="J15" s="135"/>
      <c r="K15" s="138">
        <f t="shared" si="0"/>
        <v>16161</v>
      </c>
      <c r="M15" s="128" t="s">
        <v>393</v>
      </c>
      <c r="N15" s="128" t="s">
        <v>375</v>
      </c>
      <c r="P15" s="138">
        <f ca="1">D32</f>
        <v>266228</v>
      </c>
      <c r="Q15" s="266">
        <f t="shared" ref="Q15:Q20" ca="1" si="2">P15/$P$21</f>
        <v>0.24045745335191521</v>
      </c>
      <c r="R15" s="138">
        <f>D41</f>
        <v>141867</v>
      </c>
      <c r="S15" s="138">
        <f ca="1">P15+R15</f>
        <v>408095</v>
      </c>
      <c r="T15" s="139">
        <f t="shared" ref="T15:T20" si="3">(R15*$T$3)/$T$2</f>
        <v>630.52</v>
      </c>
      <c r="U15" s="269"/>
      <c r="V15" s="269">
        <f t="shared" ref="V15:V20" ca="1" si="4">Q15*$D$52*$V$3</f>
        <v>1674293.9971549269</v>
      </c>
    </row>
    <row r="16" spans="2:22" ht="14">
      <c r="B16" s="135">
        <v>1</v>
      </c>
      <c r="C16" s="143" t="s">
        <v>395</v>
      </c>
      <c r="D16" s="137"/>
      <c r="E16" s="137"/>
      <c r="F16" s="137">
        <v>10178</v>
      </c>
      <c r="G16" s="137"/>
      <c r="H16" s="137"/>
      <c r="I16" s="137"/>
      <c r="J16" s="135"/>
      <c r="K16" s="138">
        <f t="shared" si="0"/>
        <v>10178</v>
      </c>
      <c r="M16" s="128" t="s">
        <v>393</v>
      </c>
      <c r="N16" s="128" t="s">
        <v>383</v>
      </c>
      <c r="O16" s="130">
        <f>1-O17</f>
        <v>0.7</v>
      </c>
      <c r="P16" s="138">
        <f ca="1">E32*O16</f>
        <v>325781.39999999997</v>
      </c>
      <c r="Q16" s="266">
        <f t="shared" ca="1" si="2"/>
        <v>0.29424615665302528</v>
      </c>
      <c r="R16" s="138">
        <f ca="1">I32/2</f>
        <v>52055</v>
      </c>
      <c r="S16" s="138">
        <f t="shared" ref="S16:S17" ca="1" si="5">P16+R16</f>
        <v>377836.39999999997</v>
      </c>
      <c r="T16" s="139">
        <f t="shared" ca="1" si="3"/>
        <v>231.35555555555555</v>
      </c>
      <c r="U16" s="269">
        <f>SUM(Parcels!O33:O40)/Parcels!$G$46*O16</f>
        <v>7153921.25</v>
      </c>
      <c r="V16" s="269">
        <f t="shared" ca="1" si="4"/>
        <v>2048822.2215722161</v>
      </c>
    </row>
    <row r="17" spans="2:22" ht="14">
      <c r="B17" s="135">
        <v>1</v>
      </c>
      <c r="C17" s="143" t="s">
        <v>396</v>
      </c>
      <c r="D17" s="137"/>
      <c r="E17" s="137"/>
      <c r="F17" s="137">
        <v>16596</v>
      </c>
      <c r="G17" s="137"/>
      <c r="H17" s="137"/>
      <c r="I17" s="137"/>
      <c r="J17" s="135"/>
      <c r="K17" s="138">
        <f t="shared" si="0"/>
        <v>16596</v>
      </c>
      <c r="M17" s="128" t="s">
        <v>393</v>
      </c>
      <c r="N17" s="128" t="s">
        <v>436</v>
      </c>
      <c r="O17" s="159">
        <v>0.3</v>
      </c>
      <c r="P17" s="138">
        <f ca="1">E32*O17</f>
        <v>139620.6</v>
      </c>
      <c r="Q17" s="266">
        <f t="shared" ca="1" si="2"/>
        <v>0.12610549570843943</v>
      </c>
      <c r="R17" s="135">
        <v>0</v>
      </c>
      <c r="S17" s="138">
        <f t="shared" ca="1" si="5"/>
        <v>139620.6</v>
      </c>
      <c r="T17" s="139">
        <f t="shared" si="3"/>
        <v>0</v>
      </c>
      <c r="U17" s="269">
        <f>SUM(Parcels!O33:O40)/Parcels!$G$46*O17</f>
        <v>3065966.25</v>
      </c>
      <c r="V17" s="269">
        <f t="shared" ca="1" si="4"/>
        <v>878066.66638809291</v>
      </c>
    </row>
    <row r="18" spans="2:22" ht="14">
      <c r="B18" s="135">
        <v>1</v>
      </c>
      <c r="C18" s="145" t="s">
        <v>397</v>
      </c>
      <c r="D18" s="137">
        <v>132776</v>
      </c>
      <c r="E18" s="137"/>
      <c r="F18" s="137">
        <v>18628</v>
      </c>
      <c r="G18" s="137"/>
      <c r="H18" s="137"/>
      <c r="I18" s="137"/>
      <c r="J18" s="135"/>
      <c r="K18" s="138">
        <f t="shared" si="0"/>
        <v>151404</v>
      </c>
      <c r="M18" s="128" t="s">
        <v>393</v>
      </c>
      <c r="N18" s="128" t="s">
        <v>385</v>
      </c>
      <c r="P18" s="138">
        <f ca="1">F32</f>
        <v>186622</v>
      </c>
      <c r="Q18" s="266">
        <f t="shared" ca="1" si="2"/>
        <v>0.16855721734543744</v>
      </c>
      <c r="R18" s="138">
        <f ca="1">I32/6</f>
        <v>17351.666666666668</v>
      </c>
      <c r="S18" s="138">
        <f ca="1">P18+R18</f>
        <v>203973.66666666666</v>
      </c>
      <c r="T18" s="139">
        <f t="shared" ca="1" si="3"/>
        <v>77.118518518518528</v>
      </c>
      <c r="U18" s="269"/>
      <c r="V18" s="269">
        <f t="shared" ca="1" si="4"/>
        <v>1173656.0179133927</v>
      </c>
    </row>
    <row r="19" spans="2:22" ht="14">
      <c r="B19" s="135">
        <v>2</v>
      </c>
      <c r="C19" s="146" t="s">
        <v>398</v>
      </c>
      <c r="D19" s="137">
        <v>266228</v>
      </c>
      <c r="E19" s="137"/>
      <c r="F19" s="137">
        <v>34387</v>
      </c>
      <c r="G19" s="137"/>
      <c r="H19" s="137"/>
      <c r="I19" s="137"/>
      <c r="J19" s="135"/>
      <c r="K19" s="138">
        <f t="shared" si="0"/>
        <v>300615</v>
      </c>
      <c r="M19" s="128" t="s">
        <v>393</v>
      </c>
      <c r="N19" s="128" t="s">
        <v>378</v>
      </c>
      <c r="P19" s="138">
        <f ca="1">G32</f>
        <v>102246</v>
      </c>
      <c r="Q19" s="266">
        <f t="shared" ca="1" si="2"/>
        <v>9.234871153830522E-2</v>
      </c>
      <c r="R19" s="138">
        <f ca="1">I32/6</f>
        <v>17351.666666666668</v>
      </c>
      <c r="S19" s="138">
        <f ca="1">P19+R19</f>
        <v>119597.66666666667</v>
      </c>
      <c r="T19" s="139">
        <f t="shared" ca="1" si="3"/>
        <v>77.118518518518528</v>
      </c>
      <c r="U19" s="269"/>
      <c r="V19" s="269">
        <f t="shared" ca="1" si="4"/>
        <v>643019.75762542884</v>
      </c>
    </row>
    <row r="20" spans="2:22" ht="14">
      <c r="B20" s="135">
        <v>2</v>
      </c>
      <c r="C20" s="146" t="s">
        <v>399</v>
      </c>
      <c r="D20" s="137"/>
      <c r="E20" s="137"/>
      <c r="F20" s="137"/>
      <c r="G20" s="137"/>
      <c r="H20" s="137">
        <v>86675</v>
      </c>
      <c r="I20" s="137"/>
      <c r="J20" s="135"/>
      <c r="K20" s="138">
        <f t="shared" si="0"/>
        <v>86675</v>
      </c>
      <c r="M20" s="128" t="s">
        <v>393</v>
      </c>
      <c r="N20" s="128" t="s">
        <v>322</v>
      </c>
      <c r="P20" s="138">
        <f ca="1">H32</f>
        <v>86675</v>
      </c>
      <c r="Q20" s="266">
        <f t="shared" ca="1" si="2"/>
        <v>7.8284965402877424E-2</v>
      </c>
      <c r="R20" s="138">
        <f ca="1">I32/6</f>
        <v>17351.666666666668</v>
      </c>
      <c r="S20" s="138">
        <f ca="1">P20+R20</f>
        <v>104026.66666666667</v>
      </c>
      <c r="T20" s="139">
        <f t="shared" ca="1" si="3"/>
        <v>77.118518518518528</v>
      </c>
      <c r="U20" s="269">
        <f>(Parcels!O41+Parcels!O42)/Parcels!$G$46</f>
        <v>1688800</v>
      </c>
      <c r="V20" s="269">
        <f t="shared" ca="1" si="4"/>
        <v>545094.55129965022</v>
      </c>
    </row>
    <row r="21" spans="2:22" ht="14">
      <c r="B21" s="135">
        <v>1</v>
      </c>
      <c r="C21" s="145" t="s">
        <v>400</v>
      </c>
      <c r="D21" s="137"/>
      <c r="E21" s="137"/>
      <c r="F21" s="137"/>
      <c r="G21" s="137">
        <v>42501</v>
      </c>
      <c r="H21" s="137"/>
      <c r="I21" s="137"/>
      <c r="J21" s="135"/>
      <c r="K21" s="138">
        <f t="shared" si="0"/>
        <v>42501</v>
      </c>
      <c r="M21" s="140" t="s">
        <v>37</v>
      </c>
      <c r="N21" s="140"/>
      <c r="O21" s="140"/>
      <c r="P21" s="141">
        <f ca="1">SUM(P15:P20)</f>
        <v>1107173</v>
      </c>
      <c r="Q21" s="267">
        <f ca="1">SUM(Q15:Q20)</f>
        <v>1</v>
      </c>
      <c r="R21" s="141">
        <f ca="1">SUM(R15:R20)</f>
        <v>245976.99999999997</v>
      </c>
      <c r="S21" s="141">
        <f ca="1">P21+R21</f>
        <v>1353150</v>
      </c>
      <c r="T21" s="142">
        <f ca="1">SUM(T15:T20)</f>
        <v>1093.2311111111112</v>
      </c>
      <c r="U21" s="270">
        <f>SUM(U15:U20)</f>
        <v>11908687.5</v>
      </c>
      <c r="V21" s="270">
        <f ca="1">SUM(V15:V20)</f>
        <v>6962953.211953708</v>
      </c>
    </row>
    <row r="22" spans="2:22" ht="14">
      <c r="B22" s="135">
        <v>1</v>
      </c>
      <c r="C22" s="145" t="s">
        <v>402</v>
      </c>
      <c r="D22" s="137"/>
      <c r="E22" s="137"/>
      <c r="F22" s="137"/>
      <c r="G22" s="137">
        <v>36073</v>
      </c>
      <c r="H22" s="137"/>
      <c r="I22" s="137"/>
      <c r="J22" s="135"/>
      <c r="K22" s="138">
        <f t="shared" si="0"/>
        <v>36073</v>
      </c>
    </row>
    <row r="23" spans="2:22" ht="14">
      <c r="B23" s="135">
        <v>1</v>
      </c>
      <c r="C23" s="145" t="s">
        <v>403</v>
      </c>
      <c r="D23" s="137"/>
      <c r="E23" s="137"/>
      <c r="F23" s="137"/>
      <c r="G23" s="137">
        <v>42501</v>
      </c>
      <c r="H23" s="137"/>
      <c r="I23" s="137"/>
      <c r="J23" s="135"/>
      <c r="K23" s="138">
        <f t="shared" si="0"/>
        <v>42501</v>
      </c>
      <c r="M23" s="418" t="s">
        <v>105</v>
      </c>
      <c r="N23" s="133"/>
      <c r="O23" s="419" t="s">
        <v>450</v>
      </c>
      <c r="R23" s="135" t="s">
        <v>401</v>
      </c>
      <c r="S23" s="147">
        <f ca="1">S11+S21</f>
        <v>1976056</v>
      </c>
      <c r="T23" s="138">
        <f ca="1">T21+T11</f>
        <v>1762.248888888889</v>
      </c>
      <c r="U23" s="268">
        <f ca="1">U11+U21</f>
        <v>13158687.5</v>
      </c>
      <c r="V23" s="268">
        <f ca="1">V11+V21</f>
        <v>10000000</v>
      </c>
    </row>
    <row r="24" spans="2:22" ht="15.75" customHeight="1">
      <c r="B24" s="135">
        <v>2</v>
      </c>
      <c r="C24" s="146" t="s">
        <v>404</v>
      </c>
      <c r="D24" s="137"/>
      <c r="E24" s="137"/>
      <c r="F24" s="137"/>
      <c r="G24" s="137">
        <v>102246</v>
      </c>
      <c r="H24" s="137"/>
      <c r="I24" s="137"/>
      <c r="J24" s="135"/>
      <c r="K24" s="138">
        <f t="shared" si="0"/>
        <v>102246</v>
      </c>
      <c r="M24" s="173" t="s">
        <v>446</v>
      </c>
      <c r="O24" s="416">
        <v>0.75</v>
      </c>
      <c r="S24" s="128" t="b">
        <f ca="1">S23=K27</f>
        <v>1</v>
      </c>
      <c r="U24" s="128" t="b">
        <f ca="1">U23=Parcels!E55</f>
        <v>1</v>
      </c>
      <c r="V24" s="128" t="b">
        <f ca="1">V23=F53</f>
        <v>1</v>
      </c>
    </row>
    <row r="25" spans="2:22" ht="15.75" customHeight="1">
      <c r="B25" s="135">
        <v>2</v>
      </c>
      <c r="C25" s="146" t="s">
        <v>405</v>
      </c>
      <c r="D25" s="137"/>
      <c r="E25" s="137"/>
      <c r="F25" s="137">
        <v>57726</v>
      </c>
      <c r="G25" s="137"/>
      <c r="H25" s="137"/>
      <c r="I25" s="137"/>
      <c r="J25" s="135"/>
      <c r="K25" s="138">
        <f t="shared" si="0"/>
        <v>57726</v>
      </c>
      <c r="M25" s="173" t="s">
        <v>447</v>
      </c>
      <c r="O25" s="415">
        <f>1-O24</f>
        <v>0.25</v>
      </c>
    </row>
    <row r="26" spans="2:22" ht="15.75" customHeight="1">
      <c r="B26" s="135"/>
      <c r="C26" s="146" t="s">
        <v>406</v>
      </c>
      <c r="D26" s="137"/>
      <c r="E26" s="137"/>
      <c r="F26" s="137"/>
      <c r="G26" s="137"/>
      <c r="H26" s="137"/>
      <c r="I26" s="137">
        <v>236445</v>
      </c>
      <c r="J26" s="135"/>
      <c r="K26" s="138">
        <f t="shared" si="0"/>
        <v>236445</v>
      </c>
      <c r="M26" s="173" t="s">
        <v>448</v>
      </c>
      <c r="O26" s="417">
        <v>0.75</v>
      </c>
    </row>
    <row r="27" spans="2:22" ht="15.75" customHeight="1">
      <c r="B27" s="148"/>
      <c r="C27" s="148" t="s">
        <v>379</v>
      </c>
      <c r="D27" s="149">
        <f t="shared" ref="D27:I27" si="6">SUM(D6:D26)</f>
        <v>399004</v>
      </c>
      <c r="E27" s="149">
        <f t="shared" si="6"/>
        <v>601993</v>
      </c>
      <c r="F27" s="149">
        <f t="shared" si="6"/>
        <v>268557</v>
      </c>
      <c r="G27" s="149">
        <f t="shared" si="6"/>
        <v>223321</v>
      </c>
      <c r="H27" s="149">
        <f t="shared" si="6"/>
        <v>86675</v>
      </c>
      <c r="I27" s="149">
        <f t="shared" si="6"/>
        <v>396506</v>
      </c>
      <c r="J27" s="150"/>
      <c r="K27" s="149">
        <f>SUM(K6:K26)</f>
        <v>1976056</v>
      </c>
      <c r="M27" s="173" t="s">
        <v>449</v>
      </c>
      <c r="O27" s="415">
        <f>1-O26</f>
        <v>0.25</v>
      </c>
    </row>
    <row r="28" spans="2:22" ht="15.75" customHeight="1">
      <c r="D28" s="135"/>
      <c r="E28" s="135"/>
      <c r="F28" s="135"/>
      <c r="G28" s="135"/>
      <c r="H28" s="135"/>
      <c r="I28" s="135"/>
      <c r="J28" s="135"/>
      <c r="K28" s="135"/>
    </row>
    <row r="29" spans="2:22" ht="15.75" customHeight="1">
      <c r="B29" s="128" t="s">
        <v>407</v>
      </c>
      <c r="D29" s="135"/>
      <c r="E29" s="135"/>
      <c r="F29" s="135"/>
      <c r="G29" s="135"/>
      <c r="H29" s="135"/>
      <c r="I29" s="135"/>
      <c r="J29" s="135"/>
      <c r="K29" s="135"/>
    </row>
    <row r="30" spans="2:22" ht="15.75" customHeight="1">
      <c r="B30" s="131" t="s">
        <v>304</v>
      </c>
      <c r="C30" s="131" t="s">
        <v>408</v>
      </c>
      <c r="D30" s="131" t="s">
        <v>375</v>
      </c>
      <c r="E30" s="131" t="s">
        <v>376</v>
      </c>
      <c r="F30" s="131" t="s">
        <v>377</v>
      </c>
      <c r="G30" s="131" t="s">
        <v>378</v>
      </c>
      <c r="H30" s="131" t="s">
        <v>322</v>
      </c>
      <c r="I30" s="131" t="s">
        <v>267</v>
      </c>
      <c r="J30" s="131"/>
      <c r="K30" s="131" t="s">
        <v>379</v>
      </c>
    </row>
    <row r="31" spans="2:22" ht="15.75" customHeight="1">
      <c r="B31" s="151">
        <v>1</v>
      </c>
      <c r="C31" s="152">
        <f ca="1">K31/K33</f>
        <v>0.30370467880462931</v>
      </c>
      <c r="D31" s="138">
        <f t="shared" ref="D31:I31" ca="1" si="7">SUMIF($B$6:$I$26,$B31,D6:D26)</f>
        <v>132776</v>
      </c>
      <c r="E31" s="138">
        <f t="shared" ca="1" si="7"/>
        <v>136591</v>
      </c>
      <c r="F31" s="138">
        <f t="shared" ca="1" si="7"/>
        <v>81935</v>
      </c>
      <c r="G31" s="138">
        <f t="shared" ca="1" si="7"/>
        <v>121075</v>
      </c>
      <c r="H31" s="138">
        <f t="shared" ca="1" si="7"/>
        <v>0</v>
      </c>
      <c r="I31" s="138">
        <f t="shared" ca="1" si="7"/>
        <v>55951</v>
      </c>
      <c r="J31" s="135"/>
      <c r="K31" s="138">
        <f ca="1">SUM(D31:I31)</f>
        <v>528328</v>
      </c>
    </row>
    <row r="32" spans="2:22" ht="15.75" customHeight="1">
      <c r="B32" s="153">
        <v>2</v>
      </c>
      <c r="C32" s="152">
        <f ca="1">K32/K33</f>
        <v>0.69629532119537074</v>
      </c>
      <c r="D32" s="138">
        <f t="shared" ref="D32:I32" ca="1" si="8">SUMIF($B$6:$I$26,$B32,D6:D26)</f>
        <v>266228</v>
      </c>
      <c r="E32" s="138">
        <f t="shared" ca="1" si="8"/>
        <v>465402</v>
      </c>
      <c r="F32" s="138">
        <f t="shared" ca="1" si="8"/>
        <v>186622</v>
      </c>
      <c r="G32" s="138">
        <f t="shared" ca="1" si="8"/>
        <v>102246</v>
      </c>
      <c r="H32" s="138">
        <f t="shared" ca="1" si="8"/>
        <v>86675</v>
      </c>
      <c r="I32" s="138">
        <f t="shared" ca="1" si="8"/>
        <v>104110</v>
      </c>
      <c r="J32" s="135"/>
      <c r="K32" s="138">
        <f ca="1">SUM(D32:I32)</f>
        <v>1211283</v>
      </c>
    </row>
    <row r="33" spans="2:11" ht="15.75" customHeight="1">
      <c r="B33" s="154" t="s">
        <v>37</v>
      </c>
      <c r="C33" s="155">
        <f ca="1">SUM(C31:C32)</f>
        <v>1</v>
      </c>
      <c r="D33" s="154"/>
      <c r="E33" s="154"/>
      <c r="F33" s="154"/>
      <c r="G33" s="154"/>
      <c r="H33" s="154"/>
      <c r="I33" s="154"/>
      <c r="J33" s="154"/>
      <c r="K33" s="149">
        <f ca="1">SUM(K31:K32)</f>
        <v>1739611</v>
      </c>
    </row>
    <row r="34" spans="2:11" ht="13.5" customHeight="1"/>
    <row r="35" spans="2:11" ht="14"/>
    <row r="36" spans="2:11" ht="15.75" customHeight="1">
      <c r="B36" s="156" t="s">
        <v>409</v>
      </c>
    </row>
    <row r="37" spans="2:11" ht="15.75" customHeight="1">
      <c r="B37" s="128" t="s">
        <v>410</v>
      </c>
      <c r="E37" s="157">
        <f>I26</f>
        <v>236445</v>
      </c>
    </row>
    <row r="38" spans="2:11" ht="15.75" customHeight="1"/>
    <row r="39" spans="2:11" ht="15.75" customHeight="1">
      <c r="B39" s="131" t="s">
        <v>304</v>
      </c>
      <c r="C39" s="131" t="s">
        <v>411</v>
      </c>
      <c r="D39" s="131" t="s">
        <v>412</v>
      </c>
    </row>
    <row r="40" spans="2:11" ht="15.75" customHeight="1">
      <c r="B40" s="135">
        <v>1</v>
      </c>
      <c r="C40" s="159">
        <v>0.4</v>
      </c>
      <c r="D40" s="138">
        <f t="shared" ref="D40:D41" si="9">C40*$E$37</f>
        <v>94578</v>
      </c>
    </row>
    <row r="41" spans="2:11" ht="15.75" customHeight="1">
      <c r="B41" s="135">
        <v>2</v>
      </c>
      <c r="C41" s="130">
        <f>1-C40</f>
        <v>0.6</v>
      </c>
      <c r="D41" s="138">
        <f t="shared" si="9"/>
        <v>141867</v>
      </c>
    </row>
    <row r="42" spans="2:11" ht="15.75" customHeight="1">
      <c r="B42" s="154" t="s">
        <v>37</v>
      </c>
      <c r="C42" s="160">
        <f>C40+C41</f>
        <v>1</v>
      </c>
      <c r="D42" s="149">
        <f>D40+D41</f>
        <v>236445</v>
      </c>
    </row>
    <row r="43" spans="2:11" ht="15.75" customHeight="1"/>
    <row r="44" spans="2:11" ht="15.75" customHeight="1"/>
    <row r="45" spans="2:11" ht="15.75" customHeight="1">
      <c r="B45" s="156" t="s">
        <v>452</v>
      </c>
      <c r="E45" s="135" t="s">
        <v>453</v>
      </c>
      <c r="F45" s="307" t="s">
        <v>434</v>
      </c>
    </row>
    <row r="46" spans="2:11" ht="15.75" customHeight="1">
      <c r="B46" s="128" t="s">
        <v>413</v>
      </c>
      <c r="E46" s="137">
        <v>200000</v>
      </c>
      <c r="F46" s="421">
        <v>12.5</v>
      </c>
    </row>
    <row r="47" spans="2:11" ht="15.75" customHeight="1">
      <c r="B47" s="128" t="s">
        <v>451</v>
      </c>
      <c r="E47" s="137">
        <v>200000</v>
      </c>
      <c r="F47" s="421">
        <v>12.5</v>
      </c>
    </row>
    <row r="48" spans="2:11" ht="15.75" customHeight="1">
      <c r="B48" s="128" t="s">
        <v>379</v>
      </c>
      <c r="E48" s="157">
        <f>E46+E47</f>
        <v>400000</v>
      </c>
      <c r="F48" s="420">
        <f>F46+F47</f>
        <v>25</v>
      </c>
    </row>
    <row r="49" spans="2:24" ht="15.75" customHeight="1"/>
    <row r="50" spans="2:24" ht="15.75" customHeight="1">
      <c r="B50" s="131" t="s">
        <v>304</v>
      </c>
      <c r="C50" s="131" t="s">
        <v>411</v>
      </c>
      <c r="D50" s="131" t="s">
        <v>412</v>
      </c>
      <c r="E50" s="158" t="s">
        <v>188</v>
      </c>
      <c r="F50" s="131" t="s">
        <v>37</v>
      </c>
    </row>
    <row r="51" spans="2:24" ht="15.75" customHeight="1">
      <c r="B51" s="135">
        <v>1</v>
      </c>
      <c r="C51" s="130">
        <f ca="1">C31</f>
        <v>0.30370467880462931</v>
      </c>
      <c r="D51" s="138">
        <f ca="1">C51*E48</f>
        <v>121481.87152185173</v>
      </c>
      <c r="E51" s="128" t="s">
        <v>187</v>
      </c>
      <c r="F51" s="269">
        <f ca="1">D51*F48</f>
        <v>3037046.7880462934</v>
      </c>
    </row>
    <row r="52" spans="2:24" ht="15.75" customHeight="1">
      <c r="B52" s="135">
        <v>2</v>
      </c>
      <c r="C52" s="130">
        <f ca="1">C32</f>
        <v>0.69629532119537074</v>
      </c>
      <c r="D52" s="138">
        <f ca="1">C52*E48</f>
        <v>278518.12847814831</v>
      </c>
      <c r="E52" s="128" t="s">
        <v>187</v>
      </c>
      <c r="F52" s="269">
        <f ca="1">D52*F48</f>
        <v>6962953.211953708</v>
      </c>
    </row>
    <row r="53" spans="2:24" ht="15.75" customHeight="1">
      <c r="B53" s="154" t="s">
        <v>37</v>
      </c>
      <c r="C53" s="160">
        <f ca="1">SUM(C51:C52)</f>
        <v>1</v>
      </c>
      <c r="D53" s="149">
        <f ca="1">SUM(D51:D52)</f>
        <v>400000.00000000006</v>
      </c>
      <c r="E53" s="148"/>
      <c r="F53" s="422">
        <f t="shared" ref="F53" ca="1" si="10">D53*25</f>
        <v>10000000.000000002</v>
      </c>
    </row>
    <row r="54" spans="2:24" ht="15.75" customHeight="1"/>
    <row r="55" spans="2:24" ht="15.75" customHeight="1"/>
    <row r="56" spans="2:24" ht="15.75" customHeight="1">
      <c r="B56" s="432" t="s">
        <v>457</v>
      </c>
      <c r="C56" s="371"/>
      <c r="D56" s="371"/>
      <c r="E56" s="371"/>
      <c r="F56" s="371"/>
      <c r="G56" s="371"/>
      <c r="H56" s="371"/>
      <c r="I56" s="371"/>
      <c r="J56" s="371"/>
      <c r="K56" s="371"/>
      <c r="L56" s="371"/>
      <c r="M56" s="156" t="s">
        <v>456</v>
      </c>
      <c r="O56" s="374"/>
      <c r="P56" s="374"/>
      <c r="Q56" s="374"/>
      <c r="R56" s="374"/>
      <c r="S56" s="374"/>
      <c r="T56" s="374"/>
      <c r="U56" s="374"/>
      <c r="V56" s="374"/>
      <c r="W56" s="374"/>
      <c r="X56" s="374"/>
    </row>
    <row r="57" spans="2:24" ht="15.75" customHeight="1">
      <c r="B57" s="371"/>
      <c r="C57" s="371"/>
      <c r="D57" s="371"/>
      <c r="E57" s="371"/>
      <c r="F57" s="371"/>
      <c r="G57" s="371"/>
      <c r="H57" s="371"/>
      <c r="I57" s="371"/>
      <c r="J57" s="371"/>
      <c r="K57" s="371"/>
      <c r="L57" s="371"/>
      <c r="M57" s="372" t="s">
        <v>433</v>
      </c>
      <c r="N57" s="373">
        <v>0.02</v>
      </c>
      <c r="O57" s="374"/>
      <c r="P57" s="374"/>
      <c r="Q57" s="374"/>
      <c r="R57" s="374"/>
      <c r="S57" s="374"/>
      <c r="T57" s="374"/>
      <c r="U57" s="374"/>
      <c r="V57" s="374"/>
      <c r="W57" s="374"/>
      <c r="X57" s="374"/>
    </row>
    <row r="58" spans="2:24" ht="15.75" customHeight="1">
      <c r="B58" s="375" t="s">
        <v>304</v>
      </c>
      <c r="C58" s="375" t="s">
        <v>432</v>
      </c>
      <c r="D58" s="376" t="s">
        <v>414</v>
      </c>
      <c r="E58" s="375" t="s">
        <v>419</v>
      </c>
      <c r="F58" s="375" t="s">
        <v>421</v>
      </c>
      <c r="G58" s="375" t="s">
        <v>420</v>
      </c>
      <c r="H58" s="375" t="s">
        <v>417</v>
      </c>
      <c r="I58" s="376" t="s">
        <v>188</v>
      </c>
      <c r="L58" s="371"/>
      <c r="M58" s="376" t="s">
        <v>416</v>
      </c>
      <c r="N58" s="377">
        <v>2020</v>
      </c>
      <c r="O58" s="377">
        <f t="shared" ref="O58:S58" si="11">N58+1</f>
        <v>2021</v>
      </c>
      <c r="P58" s="377">
        <f t="shared" si="11"/>
        <v>2022</v>
      </c>
      <c r="Q58" s="377">
        <f t="shared" si="11"/>
        <v>2023</v>
      </c>
      <c r="R58" s="377">
        <f t="shared" si="11"/>
        <v>2024</v>
      </c>
      <c r="S58" s="377">
        <f t="shared" si="11"/>
        <v>2025</v>
      </c>
      <c r="T58" s="377">
        <f t="shared" ref="T58" si="12">S58+1</f>
        <v>2026</v>
      </c>
      <c r="U58" s="377">
        <f t="shared" ref="U58" si="13">T58+1</f>
        <v>2027</v>
      </c>
      <c r="V58" s="377">
        <f t="shared" ref="V58" si="14">U58+1</f>
        <v>2028</v>
      </c>
      <c r="W58" s="377">
        <f t="shared" ref="W58" si="15">V58+1</f>
        <v>2029</v>
      </c>
      <c r="X58" s="377">
        <f t="shared" ref="X58" si="16">W58+1</f>
        <v>2030</v>
      </c>
    </row>
    <row r="59" spans="2:24" ht="15.75" customHeight="1">
      <c r="B59" s="378">
        <v>1</v>
      </c>
      <c r="C59" s="379">
        <v>2024</v>
      </c>
      <c r="D59" s="371" t="s">
        <v>415</v>
      </c>
      <c r="E59" s="380">
        <f>Q60</f>
        <v>211.99752216000005</v>
      </c>
      <c r="F59" s="382">
        <v>0.15</v>
      </c>
      <c r="G59" s="383">
        <f>E59*F59</f>
        <v>31.799628324000004</v>
      </c>
      <c r="H59" s="384"/>
      <c r="I59" s="385"/>
      <c r="L59" s="371"/>
      <c r="M59" s="371" t="s">
        <v>305</v>
      </c>
      <c r="N59" s="374" t="s">
        <v>419</v>
      </c>
      <c r="O59" s="374"/>
      <c r="P59" s="374"/>
      <c r="Q59" s="374"/>
      <c r="R59" s="374"/>
      <c r="S59" s="374"/>
      <c r="T59" s="374"/>
      <c r="U59" s="374"/>
      <c r="V59" s="374"/>
      <c r="W59" s="374"/>
      <c r="X59" s="374"/>
    </row>
    <row r="60" spans="2:24" ht="15.75" customHeight="1">
      <c r="B60" s="378">
        <v>1</v>
      </c>
      <c r="C60" s="379">
        <v>2024</v>
      </c>
      <c r="D60" s="371" t="s">
        <v>375</v>
      </c>
      <c r="E60" s="380">
        <f>Q61</f>
        <v>199.79363016000002</v>
      </c>
      <c r="F60" s="382">
        <v>0.15</v>
      </c>
      <c r="G60" s="383">
        <f>E60*F60</f>
        <v>29.969044524000001</v>
      </c>
      <c r="H60" s="386">
        <f>R70</f>
        <v>26.246865449200001</v>
      </c>
      <c r="I60" s="385" t="s">
        <v>104</v>
      </c>
      <c r="L60" s="371"/>
      <c r="M60" s="371" t="s">
        <v>415</v>
      </c>
      <c r="N60" s="387">
        <v>199.77</v>
      </c>
      <c r="O60" s="388">
        <f t="shared" ref="O60:X60" si="17">N60*(1+$N$57)</f>
        <v>203.76540000000003</v>
      </c>
      <c r="P60" s="388">
        <f t="shared" si="17"/>
        <v>207.84070800000003</v>
      </c>
      <c r="Q60" s="388">
        <f t="shared" si="17"/>
        <v>211.99752216000005</v>
      </c>
      <c r="R60" s="388">
        <f t="shared" si="17"/>
        <v>216.23747260320005</v>
      </c>
      <c r="S60" s="388">
        <f t="shared" si="17"/>
        <v>220.56222205526404</v>
      </c>
      <c r="T60" s="388">
        <f t="shared" si="17"/>
        <v>224.97346649636933</v>
      </c>
      <c r="U60" s="388">
        <f t="shared" si="17"/>
        <v>229.47293582629672</v>
      </c>
      <c r="V60" s="388">
        <f t="shared" si="17"/>
        <v>234.06239454282266</v>
      </c>
      <c r="W60" s="388">
        <f t="shared" si="17"/>
        <v>238.74364243367913</v>
      </c>
      <c r="X60" s="388">
        <f t="shared" si="17"/>
        <v>243.51851528235272</v>
      </c>
    </row>
    <row r="61" spans="2:24" ht="15.75" customHeight="1">
      <c r="B61" s="378">
        <v>1</v>
      </c>
      <c r="C61" s="379">
        <v>2024</v>
      </c>
      <c r="D61" s="371" t="s">
        <v>377</v>
      </c>
      <c r="E61" s="380">
        <f>Q62</f>
        <v>179.73679896000004</v>
      </c>
      <c r="F61" s="382">
        <v>0.15</v>
      </c>
      <c r="G61" s="383">
        <f>E61*F61</f>
        <v>26.960519844000007</v>
      </c>
      <c r="H61" s="386">
        <f>R71</f>
        <v>42.769334780000001</v>
      </c>
      <c r="I61" s="385" t="s">
        <v>104</v>
      </c>
      <c r="L61" s="371"/>
      <c r="M61" s="371" t="s">
        <v>375</v>
      </c>
      <c r="N61" s="387">
        <v>188.27</v>
      </c>
      <c r="O61" s="388">
        <f t="shared" ref="O61:X61" si="18">N61*(1+$N$57)</f>
        <v>192.03540000000001</v>
      </c>
      <c r="P61" s="388">
        <f t="shared" si="18"/>
        <v>195.87610800000002</v>
      </c>
      <c r="Q61" s="388">
        <f t="shared" si="18"/>
        <v>199.79363016000002</v>
      </c>
      <c r="R61" s="388">
        <f t="shared" si="18"/>
        <v>203.78950276320003</v>
      </c>
      <c r="S61" s="388">
        <f t="shared" si="18"/>
        <v>207.86529281846404</v>
      </c>
      <c r="T61" s="388">
        <f t="shared" si="18"/>
        <v>212.02259867483332</v>
      </c>
      <c r="U61" s="388">
        <f t="shared" si="18"/>
        <v>216.26305064832999</v>
      </c>
      <c r="V61" s="388">
        <f t="shared" si="18"/>
        <v>220.58831166129659</v>
      </c>
      <c r="W61" s="388">
        <f t="shared" si="18"/>
        <v>225.00007789452252</v>
      </c>
      <c r="X61" s="388">
        <f t="shared" si="18"/>
        <v>229.50007945241296</v>
      </c>
    </row>
    <row r="62" spans="2:24" ht="15.75" customHeight="1">
      <c r="B62" s="378">
        <v>1</v>
      </c>
      <c r="C62" s="379">
        <v>2024</v>
      </c>
      <c r="D62" s="371" t="s">
        <v>378</v>
      </c>
      <c r="E62" s="380">
        <f>Q64</f>
        <v>158.22611280000001</v>
      </c>
      <c r="F62" s="382">
        <v>0.15</v>
      </c>
      <c r="G62" s="383">
        <f>E62*F62</f>
        <v>23.733916920000002</v>
      </c>
      <c r="H62" s="386">
        <f>R73</f>
        <v>22.510176200000004</v>
      </c>
      <c r="I62" s="385" t="s">
        <v>104</v>
      </c>
      <c r="L62" s="371"/>
      <c r="M62" s="371" t="s">
        <v>377</v>
      </c>
      <c r="N62" s="387">
        <v>169.37</v>
      </c>
      <c r="O62" s="388">
        <f t="shared" ref="O62:X62" si="19">N62*(1+$N$57)</f>
        <v>172.75740000000002</v>
      </c>
      <c r="P62" s="388">
        <f t="shared" si="19"/>
        <v>176.21254800000003</v>
      </c>
      <c r="Q62" s="388">
        <f t="shared" si="19"/>
        <v>179.73679896000004</v>
      </c>
      <c r="R62" s="388">
        <f t="shared" si="19"/>
        <v>183.33153493920005</v>
      </c>
      <c r="S62" s="388">
        <f t="shared" si="19"/>
        <v>186.99816563798404</v>
      </c>
      <c r="T62" s="388">
        <f t="shared" si="19"/>
        <v>190.73812895074371</v>
      </c>
      <c r="U62" s="388">
        <f t="shared" si="19"/>
        <v>194.5528915297586</v>
      </c>
      <c r="V62" s="388">
        <f t="shared" si="19"/>
        <v>198.44394936035377</v>
      </c>
      <c r="W62" s="388">
        <f t="shared" si="19"/>
        <v>202.41282834756086</v>
      </c>
      <c r="X62" s="388">
        <f t="shared" si="19"/>
        <v>206.46108491451207</v>
      </c>
    </row>
    <row r="63" spans="2:24" ht="15.75" customHeight="1">
      <c r="B63" s="378"/>
      <c r="C63" s="378"/>
      <c r="D63" s="371"/>
      <c r="E63" s="386"/>
      <c r="F63" s="382"/>
      <c r="G63" s="383"/>
      <c r="H63" s="386"/>
      <c r="I63" s="385"/>
      <c r="L63" s="371"/>
      <c r="M63" s="371" t="s">
        <v>322</v>
      </c>
      <c r="N63" s="387">
        <v>202.94</v>
      </c>
      <c r="O63" s="388">
        <f t="shared" ref="O63:X63" si="20">N63*(1+$N$57)</f>
        <v>206.99879999999999</v>
      </c>
      <c r="P63" s="388">
        <f t="shared" si="20"/>
        <v>211.13877599999998</v>
      </c>
      <c r="Q63" s="388">
        <f t="shared" si="20"/>
        <v>215.36155151999998</v>
      </c>
      <c r="R63" s="388">
        <f t="shared" si="20"/>
        <v>219.66878255039998</v>
      </c>
      <c r="S63" s="388">
        <f t="shared" si="20"/>
        <v>224.06215820140798</v>
      </c>
      <c r="T63" s="388">
        <f t="shared" si="20"/>
        <v>228.54340136543615</v>
      </c>
      <c r="U63" s="388">
        <f t="shared" si="20"/>
        <v>233.11426939274489</v>
      </c>
      <c r="V63" s="388">
        <f t="shared" si="20"/>
        <v>237.77655478059978</v>
      </c>
      <c r="W63" s="388">
        <f t="shared" si="20"/>
        <v>242.5320858762118</v>
      </c>
      <c r="X63" s="388">
        <f t="shared" si="20"/>
        <v>247.38272759373604</v>
      </c>
    </row>
    <row r="64" spans="2:24" ht="15.75" customHeight="1">
      <c r="B64" s="375" t="s">
        <v>304</v>
      </c>
      <c r="C64" s="375" t="s">
        <v>432</v>
      </c>
      <c r="D64" s="376" t="s">
        <v>414</v>
      </c>
      <c r="E64" s="375" t="s">
        <v>419</v>
      </c>
      <c r="F64" s="375" t="s">
        <v>421</v>
      </c>
      <c r="G64" s="375" t="s">
        <v>420</v>
      </c>
      <c r="H64" s="375" t="s">
        <v>417</v>
      </c>
      <c r="I64" s="376" t="s">
        <v>188</v>
      </c>
      <c r="L64" s="371"/>
      <c r="M64" s="371" t="s">
        <v>378</v>
      </c>
      <c r="N64" s="387">
        <v>149.1</v>
      </c>
      <c r="O64" s="388">
        <f t="shared" ref="O64:X64" si="21">N64*(1+$N$57)</f>
        <v>152.08199999999999</v>
      </c>
      <c r="P64" s="388">
        <f t="shared" si="21"/>
        <v>155.12363999999999</v>
      </c>
      <c r="Q64" s="388">
        <f t="shared" si="21"/>
        <v>158.22611280000001</v>
      </c>
      <c r="R64" s="388">
        <f t="shared" si="21"/>
        <v>161.39063505600001</v>
      </c>
      <c r="S64" s="388">
        <f t="shared" si="21"/>
        <v>164.61844775712001</v>
      </c>
      <c r="T64" s="388">
        <f t="shared" si="21"/>
        <v>167.9108167122624</v>
      </c>
      <c r="U64" s="388">
        <f t="shared" si="21"/>
        <v>171.26903304650764</v>
      </c>
      <c r="V64" s="388">
        <f t="shared" si="21"/>
        <v>174.6944137074378</v>
      </c>
      <c r="W64" s="388">
        <f t="shared" si="21"/>
        <v>178.18830198158656</v>
      </c>
      <c r="X64" s="388">
        <f t="shared" si="21"/>
        <v>181.75206802121829</v>
      </c>
    </row>
    <row r="65" spans="2:24" ht="15.75" customHeight="1">
      <c r="B65" s="378">
        <v>2</v>
      </c>
      <c r="C65" s="379">
        <v>2026</v>
      </c>
      <c r="D65" s="371" t="s">
        <v>415</v>
      </c>
      <c r="E65" s="380">
        <f>S60</f>
        <v>220.56222205526404</v>
      </c>
      <c r="F65" s="382">
        <v>0.15</v>
      </c>
      <c r="G65" s="383">
        <f>E65*F65</f>
        <v>33.084333308289608</v>
      </c>
      <c r="H65" s="384"/>
      <c r="I65" s="385"/>
      <c r="L65" s="371"/>
      <c r="M65" s="371"/>
      <c r="N65" s="374"/>
      <c r="O65" s="388"/>
      <c r="P65" s="388"/>
      <c r="Q65" s="388"/>
      <c r="R65" s="388"/>
      <c r="S65" s="388"/>
      <c r="T65" s="388"/>
      <c r="U65" s="388"/>
      <c r="V65" s="388"/>
      <c r="W65" s="388"/>
      <c r="X65" s="388"/>
    </row>
    <row r="66" spans="2:24" ht="15.75" customHeight="1">
      <c r="B66" s="378">
        <v>2</v>
      </c>
      <c r="C66" s="379">
        <v>2026</v>
      </c>
      <c r="D66" s="371" t="s">
        <v>375</v>
      </c>
      <c r="E66" s="380">
        <f>S61</f>
        <v>207.86529281846404</v>
      </c>
      <c r="F66" s="382">
        <v>0.15</v>
      </c>
      <c r="G66" s="383">
        <f>E66*F66</f>
        <v>31.179793922769605</v>
      </c>
      <c r="H66" s="380">
        <f>S70</f>
        <v>27.034271412676002</v>
      </c>
      <c r="I66" s="385" t="s">
        <v>104</v>
      </c>
      <c r="L66" s="371"/>
      <c r="M66" s="128" t="s">
        <v>455</v>
      </c>
      <c r="O66" s="388"/>
      <c r="P66" s="388"/>
      <c r="Q66" s="388"/>
      <c r="R66" s="388"/>
      <c r="S66" s="388"/>
      <c r="T66" s="388"/>
      <c r="U66" s="388"/>
      <c r="V66" s="388"/>
      <c r="W66" s="388"/>
      <c r="X66" s="388"/>
    </row>
    <row r="67" spans="2:24" ht="15.75" customHeight="1">
      <c r="B67" s="378">
        <v>2</v>
      </c>
      <c r="C67" s="379">
        <v>2026</v>
      </c>
      <c r="D67" s="371" t="s">
        <v>377</v>
      </c>
      <c r="E67" s="380">
        <f>S62</f>
        <v>186.99816563798404</v>
      </c>
      <c r="F67" s="382">
        <v>0.15</v>
      </c>
      <c r="G67" s="383">
        <f>E67*F67</f>
        <v>28.049724845697607</v>
      </c>
      <c r="H67" s="380">
        <f>S71</f>
        <v>44.052414823399999</v>
      </c>
      <c r="I67" s="385" t="s">
        <v>104</v>
      </c>
      <c r="L67" s="371"/>
      <c r="M67" s="372" t="s">
        <v>433</v>
      </c>
      <c r="N67" s="373">
        <v>0.03</v>
      </c>
      <c r="O67" s="388"/>
      <c r="P67" s="388"/>
      <c r="Q67" s="388"/>
      <c r="R67" s="388"/>
      <c r="S67" s="388"/>
      <c r="T67" s="388"/>
      <c r="U67" s="388"/>
      <c r="V67" s="388"/>
      <c r="W67" s="388"/>
      <c r="X67" s="388"/>
    </row>
    <row r="68" spans="2:24" ht="15.75" customHeight="1">
      <c r="B68" s="378">
        <v>2</v>
      </c>
      <c r="C68" s="379">
        <v>2026</v>
      </c>
      <c r="D68" s="371" t="s">
        <v>322</v>
      </c>
      <c r="E68" s="380">
        <f>S63</f>
        <v>224.06215820140798</v>
      </c>
      <c r="F68" s="382">
        <v>0.15</v>
      </c>
      <c r="G68" s="383">
        <f>E68*F68</f>
        <v>33.609323730211194</v>
      </c>
      <c r="H68" s="380">
        <f>S72</f>
        <v>289.81851857500004</v>
      </c>
      <c r="I68" s="385" t="s">
        <v>418</v>
      </c>
      <c r="L68" s="371"/>
      <c r="M68" s="376" t="s">
        <v>416</v>
      </c>
      <c r="N68" s="377">
        <v>2020</v>
      </c>
      <c r="O68" s="377">
        <f t="shared" ref="O68:S68" si="22">N68+1</f>
        <v>2021</v>
      </c>
      <c r="P68" s="377">
        <f t="shared" si="22"/>
        <v>2022</v>
      </c>
      <c r="Q68" s="377">
        <f t="shared" si="22"/>
        <v>2023</v>
      </c>
      <c r="R68" s="377">
        <f t="shared" si="22"/>
        <v>2024</v>
      </c>
      <c r="S68" s="377">
        <f t="shared" si="22"/>
        <v>2025</v>
      </c>
      <c r="T68" s="377">
        <f t="shared" ref="T68" si="23">S68+1</f>
        <v>2026</v>
      </c>
      <c r="U68" s="377">
        <f t="shared" ref="U68" si="24">T68+1</f>
        <v>2027</v>
      </c>
      <c r="V68" s="377">
        <f t="shared" ref="V68" si="25">U68+1</f>
        <v>2028</v>
      </c>
      <c r="W68" s="377">
        <f t="shared" ref="W68" si="26">V68+1</f>
        <v>2029</v>
      </c>
      <c r="X68" s="377">
        <f t="shared" ref="X68" si="27">W68+1</f>
        <v>2030</v>
      </c>
    </row>
    <row r="69" spans="2:24" ht="15.75" customHeight="1">
      <c r="B69" s="378">
        <v>2</v>
      </c>
      <c r="C69" s="379">
        <v>2026</v>
      </c>
      <c r="D69" s="371" t="s">
        <v>378</v>
      </c>
      <c r="E69" s="380">
        <f>S64</f>
        <v>164.61844775712001</v>
      </c>
      <c r="F69" s="382">
        <v>0.15</v>
      </c>
      <c r="G69" s="383">
        <f>E69*F69</f>
        <v>24.692767163568</v>
      </c>
      <c r="H69" s="380">
        <f>S73</f>
        <v>23.185481486000004</v>
      </c>
      <c r="I69" s="385" t="s">
        <v>104</v>
      </c>
      <c r="L69" s="371"/>
      <c r="M69" s="371" t="s">
        <v>305</v>
      </c>
      <c r="N69" s="374" t="s">
        <v>144</v>
      </c>
      <c r="O69" s="388"/>
      <c r="P69" s="388"/>
      <c r="Q69" s="388"/>
      <c r="R69" s="388"/>
      <c r="S69" s="388"/>
      <c r="T69" s="388"/>
      <c r="U69" s="388"/>
      <c r="V69" s="388"/>
      <c r="W69" s="388"/>
      <c r="X69" s="388"/>
    </row>
    <row r="70" spans="2:24" ht="15.75" customHeight="1">
      <c r="B70" s="378"/>
      <c r="C70" s="378"/>
      <c r="D70" s="371"/>
      <c r="E70" s="386"/>
      <c r="F70" s="381"/>
      <c r="G70" s="382"/>
      <c r="H70" s="383"/>
      <c r="I70" s="371"/>
      <c r="J70" s="386"/>
      <c r="K70" s="385"/>
      <c r="L70" s="371"/>
      <c r="M70" s="371" t="s">
        <v>375</v>
      </c>
      <c r="N70" s="387">
        <v>23.32</v>
      </c>
      <c r="O70" s="388">
        <f t="shared" ref="O70:X70" si="28">N70*(1+$N$67)</f>
        <v>24.019600000000001</v>
      </c>
      <c r="P70" s="388">
        <f t="shared" si="28"/>
        <v>24.740188</v>
      </c>
      <c r="Q70" s="388">
        <f t="shared" si="28"/>
        <v>25.482393640000002</v>
      </c>
      <c r="R70" s="388">
        <f t="shared" si="28"/>
        <v>26.246865449200001</v>
      </c>
      <c r="S70" s="388">
        <f t="shared" si="28"/>
        <v>27.034271412676002</v>
      </c>
      <c r="T70" s="388">
        <f t="shared" si="28"/>
        <v>27.845299555056283</v>
      </c>
      <c r="U70" s="388">
        <f t="shared" si="28"/>
        <v>28.68065854170797</v>
      </c>
      <c r="V70" s="388">
        <f t="shared" si="28"/>
        <v>29.54107829795921</v>
      </c>
      <c r="W70" s="388">
        <f t="shared" si="28"/>
        <v>30.427310646897986</v>
      </c>
      <c r="X70" s="388">
        <f t="shared" si="28"/>
        <v>31.340129966304925</v>
      </c>
    </row>
    <row r="71" spans="2:24" ht="15.75" customHeight="1">
      <c r="B71" s="371"/>
      <c r="C71" s="371"/>
      <c r="D71" s="371" t="s">
        <v>424</v>
      </c>
      <c r="E71" s="386">
        <v>12000</v>
      </c>
      <c r="F71" s="371"/>
      <c r="G71" s="371"/>
      <c r="H71" s="371"/>
      <c r="I71" s="371"/>
      <c r="J71" s="371"/>
      <c r="K71" s="371"/>
      <c r="L71" s="371"/>
      <c r="M71" s="371" t="s">
        <v>377</v>
      </c>
      <c r="N71" s="387">
        <v>38</v>
      </c>
      <c r="O71" s="388">
        <f t="shared" ref="O71:X71" si="29">N71*(1+$N$67)</f>
        <v>39.14</v>
      </c>
      <c r="P71" s="388">
        <f t="shared" si="29"/>
        <v>40.3142</v>
      </c>
      <c r="Q71" s="388">
        <f t="shared" si="29"/>
        <v>41.523626</v>
      </c>
      <c r="R71" s="388">
        <f t="shared" si="29"/>
        <v>42.769334780000001</v>
      </c>
      <c r="S71" s="388">
        <f t="shared" si="29"/>
        <v>44.052414823399999</v>
      </c>
      <c r="T71" s="388">
        <f t="shared" si="29"/>
        <v>45.373987268101999</v>
      </c>
      <c r="U71" s="388">
        <f t="shared" si="29"/>
        <v>46.735206886145058</v>
      </c>
      <c r="V71" s="388">
        <f t="shared" si="29"/>
        <v>48.137263092729413</v>
      </c>
      <c r="W71" s="388">
        <f t="shared" si="29"/>
        <v>49.581380985511295</v>
      </c>
      <c r="X71" s="388">
        <f t="shared" si="29"/>
        <v>51.068822415076632</v>
      </c>
    </row>
    <row r="72" spans="2:24" ht="15.75" customHeight="1">
      <c r="B72" s="371"/>
      <c r="C72" s="371"/>
      <c r="D72" s="371"/>
      <c r="E72" s="371"/>
      <c r="F72" s="371"/>
      <c r="G72" s="371"/>
      <c r="H72" s="371"/>
      <c r="I72" s="371"/>
      <c r="J72" s="371"/>
      <c r="K72" s="371"/>
      <c r="L72" s="371"/>
      <c r="M72" s="371" t="s">
        <v>322</v>
      </c>
      <c r="N72" s="387">
        <v>250</v>
      </c>
      <c r="O72" s="388">
        <f t="shared" ref="O72:X72" si="30">N72*(1+$N$67)</f>
        <v>257.5</v>
      </c>
      <c r="P72" s="388">
        <f t="shared" si="30"/>
        <v>265.22500000000002</v>
      </c>
      <c r="Q72" s="388">
        <f t="shared" si="30"/>
        <v>273.18175000000002</v>
      </c>
      <c r="R72" s="388">
        <f t="shared" si="30"/>
        <v>281.37720250000001</v>
      </c>
      <c r="S72" s="388">
        <f t="shared" si="30"/>
        <v>289.81851857500004</v>
      </c>
      <c r="T72" s="388">
        <f t="shared" si="30"/>
        <v>298.51307413225004</v>
      </c>
      <c r="U72" s="388">
        <f t="shared" si="30"/>
        <v>307.46846635621756</v>
      </c>
      <c r="V72" s="388">
        <f t="shared" si="30"/>
        <v>316.69252034690408</v>
      </c>
      <c r="W72" s="388">
        <f t="shared" si="30"/>
        <v>326.19329595731119</v>
      </c>
      <c r="X72" s="388">
        <f t="shared" si="30"/>
        <v>335.97909483603053</v>
      </c>
    </row>
    <row r="73" spans="2:24" ht="15.75" customHeight="1">
      <c r="B73" s="371"/>
      <c r="C73" s="371"/>
      <c r="D73" s="371"/>
      <c r="E73" s="371"/>
      <c r="F73" s="371"/>
      <c r="G73" s="371"/>
      <c r="H73" s="371"/>
      <c r="I73" s="371"/>
      <c r="J73" s="371"/>
      <c r="K73" s="371"/>
      <c r="L73" s="371"/>
      <c r="M73" s="371" t="s">
        <v>378</v>
      </c>
      <c r="N73" s="387">
        <v>20</v>
      </c>
      <c r="O73" s="388">
        <f t="shared" ref="O73:X73" si="31">N73*(1+$N$67)</f>
        <v>20.6</v>
      </c>
      <c r="P73" s="388">
        <f t="shared" si="31"/>
        <v>21.218000000000004</v>
      </c>
      <c r="Q73" s="388">
        <f t="shared" si="31"/>
        <v>21.854540000000004</v>
      </c>
      <c r="R73" s="388">
        <f t="shared" si="31"/>
        <v>22.510176200000004</v>
      </c>
      <c r="S73" s="388">
        <f t="shared" si="31"/>
        <v>23.185481486000004</v>
      </c>
      <c r="T73" s="388">
        <f t="shared" si="31"/>
        <v>23.881045930580004</v>
      </c>
      <c r="U73" s="388">
        <f t="shared" si="31"/>
        <v>24.597477308497407</v>
      </c>
      <c r="V73" s="388">
        <f t="shared" si="31"/>
        <v>25.335401627752329</v>
      </c>
      <c r="W73" s="388">
        <f t="shared" si="31"/>
        <v>26.095463676584899</v>
      </c>
      <c r="X73" s="388">
        <f t="shared" si="31"/>
        <v>26.878327586882445</v>
      </c>
    </row>
    <row r="74" spans="2:24" ht="15.75" customHeight="1">
      <c r="B74" s="133" t="s">
        <v>454</v>
      </c>
      <c r="C74" s="133"/>
      <c r="D74" s="133"/>
    </row>
    <row r="75" spans="2:24" ht="15.75" customHeight="1">
      <c r="B75" s="128" t="s">
        <v>440</v>
      </c>
      <c r="D75" s="389">
        <v>5.5E-2</v>
      </c>
    </row>
    <row r="76" spans="2:24" ht="15.75" customHeight="1">
      <c r="B76" s="128" t="s">
        <v>441</v>
      </c>
      <c r="D76" s="390">
        <v>0.01</v>
      </c>
    </row>
    <row r="77" spans="2:24" ht="15.75" customHeight="1">
      <c r="B77" s="128" t="s">
        <v>124</v>
      </c>
      <c r="D77" s="413">
        <v>7.4999999999999997E-2</v>
      </c>
    </row>
    <row r="78" spans="2:24" ht="15.75" customHeight="1"/>
    <row r="79" spans="2:24" ht="15.75" customHeight="1"/>
    <row r="80" spans="2:24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pageMargins left="0.7" right="0.7" top="0.75" bottom="0.75" header="0" footer="0"/>
  <pageSetup scale="33" orientation="portrait" r:id="rId1"/>
  <ignoredErrors>
    <ignoredError sqref="S11 S2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96FBC-B1AA-48CC-86B0-74D706AF1714}">
  <sheetPr>
    <tabColor rgb="FFFF0000"/>
  </sheetPr>
  <dimension ref="C3:Q61"/>
  <sheetViews>
    <sheetView view="pageBreakPreview" zoomScale="60" zoomScaleNormal="100" workbookViewId="0">
      <selection activeCell="B1" sqref="B1"/>
    </sheetView>
  </sheetViews>
  <sheetFormatPr baseColWidth="10" defaultColWidth="8.83203125" defaultRowHeight="15"/>
  <cols>
    <col min="1" max="2" width="3.6640625" customWidth="1"/>
    <col min="3" max="3" width="18.5" bestFit="1" customWidth="1"/>
    <col min="5" max="5" width="16.33203125" bestFit="1" customWidth="1"/>
    <col min="7" max="7" width="23.5" bestFit="1" customWidth="1"/>
    <col min="8" max="8" width="90.83203125" bestFit="1" customWidth="1"/>
    <col min="9" max="9" width="10.83203125" hidden="1" customWidth="1"/>
    <col min="10" max="10" width="10.5" hidden="1" customWidth="1"/>
    <col min="11" max="11" width="19.5" hidden="1" customWidth="1"/>
    <col min="12" max="12" width="7" hidden="1" customWidth="1"/>
    <col min="13" max="13" width="14.33203125" bestFit="1" customWidth="1"/>
    <col min="14" max="14" width="18.6640625" bestFit="1" customWidth="1"/>
    <col min="15" max="15" width="18.6640625" customWidth="1"/>
    <col min="16" max="16" width="45.5" bestFit="1" customWidth="1"/>
    <col min="17" max="17" width="7.33203125" bestFit="1" customWidth="1"/>
    <col min="18" max="18" width="3.5" customWidth="1"/>
  </cols>
  <sheetData>
    <row r="3" spans="4:17">
      <c r="D3" s="81" t="s">
        <v>302</v>
      </c>
      <c r="E3" s="82" t="s">
        <v>188</v>
      </c>
      <c r="F3" s="83" t="s">
        <v>189</v>
      </c>
      <c r="G3" s="83" t="s">
        <v>190</v>
      </c>
      <c r="H3" s="83" t="s">
        <v>191</v>
      </c>
      <c r="I3" s="83" t="s">
        <v>192</v>
      </c>
      <c r="J3" s="83" t="s">
        <v>193</v>
      </c>
      <c r="K3" s="83" t="s">
        <v>194</v>
      </c>
      <c r="L3" s="83" t="s">
        <v>195</v>
      </c>
      <c r="M3" s="83" t="s">
        <v>196</v>
      </c>
      <c r="N3" s="84" t="s">
        <v>197</v>
      </c>
      <c r="O3" s="84" t="s">
        <v>303</v>
      </c>
      <c r="P3" s="84" t="s">
        <v>198</v>
      </c>
      <c r="Q3" s="85" t="s">
        <v>199</v>
      </c>
    </row>
    <row r="4" spans="4:17">
      <c r="D4" s="80">
        <v>2</v>
      </c>
      <c r="E4" t="s">
        <v>265</v>
      </c>
      <c r="F4" s="64">
        <v>1</v>
      </c>
      <c r="G4" s="65" t="s">
        <v>200</v>
      </c>
      <c r="H4" s="65" t="s">
        <v>201</v>
      </c>
      <c r="I4" s="65" t="s">
        <v>202</v>
      </c>
      <c r="J4" s="65">
        <v>49</v>
      </c>
      <c r="K4" s="65" t="s">
        <v>203</v>
      </c>
      <c r="L4" s="65" t="s">
        <v>204</v>
      </c>
      <c r="M4" s="75">
        <v>129152</v>
      </c>
      <c r="N4" s="76">
        <v>0</v>
      </c>
      <c r="O4" s="76">
        <f t="shared" ref="O4:O29" si="0">M4+N4</f>
        <v>129152</v>
      </c>
      <c r="P4" s="66" t="s">
        <v>205</v>
      </c>
      <c r="Q4" s="67">
        <v>0.29699999999999999</v>
      </c>
    </row>
    <row r="5" spans="4:17">
      <c r="D5" s="80">
        <v>2</v>
      </c>
      <c r="E5" t="s">
        <v>265</v>
      </c>
      <c r="F5" s="64">
        <f t="shared" ref="F5:F8" si="1">F4+1</f>
        <v>2</v>
      </c>
      <c r="G5" s="65" t="s">
        <v>206</v>
      </c>
      <c r="H5" s="65" t="s">
        <v>207</v>
      </c>
      <c r="I5" s="65" t="s">
        <v>202</v>
      </c>
      <c r="J5" s="65">
        <v>50</v>
      </c>
      <c r="K5" s="65" t="s">
        <v>208</v>
      </c>
      <c r="L5" s="65" t="s">
        <v>204</v>
      </c>
      <c r="M5" s="75">
        <v>589757</v>
      </c>
      <c r="N5" s="76">
        <v>368</v>
      </c>
      <c r="O5" s="76">
        <f t="shared" si="0"/>
        <v>590125</v>
      </c>
      <c r="P5" s="66" t="s">
        <v>209</v>
      </c>
      <c r="Q5" s="67">
        <v>2.2970000000000002</v>
      </c>
    </row>
    <row r="6" spans="4:17">
      <c r="D6" s="80">
        <v>2</v>
      </c>
      <c r="E6" t="s">
        <v>265</v>
      </c>
      <c r="F6" s="64">
        <f t="shared" si="1"/>
        <v>3</v>
      </c>
      <c r="G6" s="65" t="s">
        <v>210</v>
      </c>
      <c r="H6" s="65" t="s">
        <v>211</v>
      </c>
      <c r="I6" s="65" t="s">
        <v>202</v>
      </c>
      <c r="J6" s="65">
        <v>49</v>
      </c>
      <c r="K6" s="65" t="s">
        <v>208</v>
      </c>
      <c r="L6" s="65" t="s">
        <v>204</v>
      </c>
      <c r="M6" s="75">
        <v>83200</v>
      </c>
      <c r="N6" s="76">
        <v>43098</v>
      </c>
      <c r="O6" s="76">
        <f t="shared" si="0"/>
        <v>126298</v>
      </c>
      <c r="P6" s="66" t="s">
        <v>212</v>
      </c>
      <c r="Q6" s="67">
        <v>0.30599999999999999</v>
      </c>
    </row>
    <row r="7" spans="4:17">
      <c r="D7" s="80">
        <v>2</v>
      </c>
      <c r="E7" t="s">
        <v>265</v>
      </c>
      <c r="F7" s="64">
        <f t="shared" si="1"/>
        <v>4</v>
      </c>
      <c r="G7" s="65" t="s">
        <v>213</v>
      </c>
      <c r="H7" s="65" t="s">
        <v>214</v>
      </c>
      <c r="I7" s="65" t="s">
        <v>202</v>
      </c>
      <c r="J7" s="65">
        <v>49</v>
      </c>
      <c r="K7" s="68" t="s">
        <v>215</v>
      </c>
      <c r="L7" s="65" t="s">
        <v>204</v>
      </c>
      <c r="M7" s="75">
        <v>14108</v>
      </c>
      <c r="N7" s="76">
        <v>56091</v>
      </c>
      <c r="O7" s="76">
        <f t="shared" si="0"/>
        <v>70199</v>
      </c>
      <c r="P7" s="66" t="s">
        <v>216</v>
      </c>
      <c r="Q7" s="67">
        <v>9.0999999999999998E-2</v>
      </c>
    </row>
    <row r="8" spans="4:17">
      <c r="D8" s="80">
        <v>2</v>
      </c>
      <c r="E8" t="s">
        <v>265</v>
      </c>
      <c r="F8" s="64">
        <f t="shared" si="1"/>
        <v>5</v>
      </c>
      <c r="G8" s="65" t="s">
        <v>217</v>
      </c>
      <c r="H8" s="65" t="s">
        <v>218</v>
      </c>
      <c r="I8" s="65" t="s">
        <v>202</v>
      </c>
      <c r="J8" s="65">
        <v>49</v>
      </c>
      <c r="K8" s="65" t="s">
        <v>219</v>
      </c>
      <c r="L8" s="65" t="s">
        <v>204</v>
      </c>
      <c r="M8" s="75">
        <v>73216</v>
      </c>
      <c r="N8" s="76">
        <v>0</v>
      </c>
      <c r="O8" s="76">
        <f t="shared" si="0"/>
        <v>73216</v>
      </c>
      <c r="P8" s="66" t="s">
        <v>205</v>
      </c>
      <c r="Q8" s="67">
        <v>0.16400000000000001</v>
      </c>
    </row>
    <row r="9" spans="4:17">
      <c r="D9" s="80">
        <v>1</v>
      </c>
      <c r="E9" t="s">
        <v>298</v>
      </c>
      <c r="F9" s="64">
        <f t="shared" ref="F9:F28" si="2">F8+1</f>
        <v>6</v>
      </c>
      <c r="G9" s="65" t="s">
        <v>220</v>
      </c>
      <c r="H9" s="65" t="s">
        <v>221</v>
      </c>
      <c r="I9" s="65" t="s">
        <v>202</v>
      </c>
      <c r="J9" s="65">
        <v>65</v>
      </c>
      <c r="K9" s="65" t="s">
        <v>222</v>
      </c>
      <c r="L9" s="65" t="s">
        <v>204</v>
      </c>
      <c r="M9" s="75">
        <v>998400</v>
      </c>
      <c r="N9" s="76">
        <v>1106560</v>
      </c>
      <c r="O9" s="76">
        <f t="shared" si="0"/>
        <v>2104960</v>
      </c>
      <c r="P9" s="66" t="s">
        <v>223</v>
      </c>
      <c r="Q9" s="67">
        <v>1.145</v>
      </c>
    </row>
    <row r="10" spans="4:17">
      <c r="D10" s="80">
        <v>1</v>
      </c>
      <c r="E10" t="s">
        <v>298</v>
      </c>
      <c r="F10" s="64">
        <f t="shared" si="2"/>
        <v>7</v>
      </c>
      <c r="G10" s="65" t="s">
        <v>224</v>
      </c>
      <c r="H10" s="65" t="s">
        <v>225</v>
      </c>
      <c r="I10" s="65" t="s">
        <v>202</v>
      </c>
      <c r="J10" s="65">
        <v>66</v>
      </c>
      <c r="K10" s="65" t="s">
        <v>219</v>
      </c>
      <c r="L10" s="65" t="s">
        <v>204</v>
      </c>
      <c r="M10" s="75">
        <v>864000</v>
      </c>
      <c r="N10" s="76">
        <v>19936</v>
      </c>
      <c r="O10" s="76">
        <f t="shared" si="0"/>
        <v>883936</v>
      </c>
      <c r="P10" s="66" t="s">
        <v>209</v>
      </c>
      <c r="Q10" s="67">
        <v>1.4339999999999999</v>
      </c>
    </row>
    <row r="11" spans="4:17">
      <c r="D11" s="80">
        <v>1</v>
      </c>
      <c r="E11" t="s">
        <v>298</v>
      </c>
      <c r="F11" s="64">
        <f t="shared" si="2"/>
        <v>8</v>
      </c>
      <c r="G11" s="65" t="s">
        <v>226</v>
      </c>
      <c r="H11" s="65" t="s">
        <v>225</v>
      </c>
      <c r="I11" s="65" t="s">
        <v>202</v>
      </c>
      <c r="J11" s="65">
        <v>66</v>
      </c>
      <c r="K11" s="65" t="s">
        <v>219</v>
      </c>
      <c r="L11" s="65" t="s">
        <v>204</v>
      </c>
      <c r="M11" s="75">
        <v>290867</v>
      </c>
      <c r="N11" s="76">
        <v>210496</v>
      </c>
      <c r="O11" s="76">
        <f t="shared" si="0"/>
        <v>501363</v>
      </c>
      <c r="P11" s="66" t="s">
        <v>205</v>
      </c>
      <c r="Q11" s="67">
        <v>0.86599999999999999</v>
      </c>
    </row>
    <row r="12" spans="4:17">
      <c r="D12" s="80">
        <v>1</v>
      </c>
      <c r="E12" t="s">
        <v>299</v>
      </c>
      <c r="F12" s="64">
        <f t="shared" si="2"/>
        <v>9</v>
      </c>
      <c r="G12" s="65" t="s">
        <v>227</v>
      </c>
      <c r="H12" s="65" t="s">
        <v>228</v>
      </c>
      <c r="I12" s="65" t="s">
        <v>202</v>
      </c>
      <c r="J12" s="65">
        <v>82</v>
      </c>
      <c r="K12" s="68" t="s">
        <v>215</v>
      </c>
      <c r="L12" s="65" t="s">
        <v>204</v>
      </c>
      <c r="M12" s="75">
        <v>147168</v>
      </c>
      <c r="N12" s="76">
        <v>0</v>
      </c>
      <c r="O12" s="76">
        <f t="shared" si="0"/>
        <v>147168</v>
      </c>
      <c r="P12" s="66" t="s">
        <v>205</v>
      </c>
      <c r="Q12" s="67">
        <v>0.59</v>
      </c>
    </row>
    <row r="13" spans="4:17">
      <c r="D13" s="80">
        <v>1</v>
      </c>
      <c r="E13" t="s">
        <v>299</v>
      </c>
      <c r="F13" s="64">
        <f t="shared" si="2"/>
        <v>10</v>
      </c>
      <c r="G13" s="65" t="s">
        <v>229</v>
      </c>
      <c r="H13" s="65" t="s">
        <v>230</v>
      </c>
      <c r="I13" s="65" t="s">
        <v>202</v>
      </c>
      <c r="J13" s="65">
        <v>82</v>
      </c>
      <c r="K13" s="65" t="s">
        <v>231</v>
      </c>
      <c r="L13" s="65" t="s">
        <v>204</v>
      </c>
      <c r="M13" s="75">
        <v>56194</v>
      </c>
      <c r="N13" s="76">
        <v>331</v>
      </c>
      <c r="O13" s="76">
        <f t="shared" si="0"/>
        <v>56525</v>
      </c>
      <c r="P13" s="66" t="s">
        <v>209</v>
      </c>
      <c r="Q13" s="67">
        <v>0.35</v>
      </c>
    </row>
    <row r="14" spans="4:17">
      <c r="D14" s="80">
        <v>1</v>
      </c>
      <c r="E14" t="s">
        <v>299</v>
      </c>
      <c r="F14" s="64">
        <f t="shared" si="2"/>
        <v>11</v>
      </c>
      <c r="G14" s="65" t="s">
        <v>232</v>
      </c>
      <c r="H14" s="65" t="s">
        <v>233</v>
      </c>
      <c r="I14" s="65" t="s">
        <v>202</v>
      </c>
      <c r="J14" s="65">
        <v>82</v>
      </c>
      <c r="K14" s="68" t="s">
        <v>215</v>
      </c>
      <c r="L14" s="65" t="s">
        <v>204</v>
      </c>
      <c r="M14" s="75">
        <v>78715</v>
      </c>
      <c r="N14" s="76">
        <v>552</v>
      </c>
      <c r="O14" s="76">
        <f t="shared" si="0"/>
        <v>79267</v>
      </c>
      <c r="P14" s="66" t="s">
        <v>209</v>
      </c>
      <c r="Q14" s="67">
        <v>0.60199999999999998</v>
      </c>
    </row>
    <row r="15" spans="4:17">
      <c r="D15" s="80">
        <v>1</v>
      </c>
      <c r="E15" t="s">
        <v>299</v>
      </c>
      <c r="F15" s="64">
        <f t="shared" si="2"/>
        <v>12</v>
      </c>
      <c r="G15" s="65" t="s">
        <v>234</v>
      </c>
      <c r="H15" s="65" t="s">
        <v>235</v>
      </c>
      <c r="I15" s="65" t="s">
        <v>202</v>
      </c>
      <c r="J15" s="65">
        <v>83</v>
      </c>
      <c r="K15" s="68" t="s">
        <v>215</v>
      </c>
      <c r="L15" s="65" t="s">
        <v>204</v>
      </c>
      <c r="M15" s="75">
        <v>27693</v>
      </c>
      <c r="N15" s="76">
        <v>105833</v>
      </c>
      <c r="O15" s="76">
        <f t="shared" si="0"/>
        <v>133526</v>
      </c>
      <c r="P15" s="66" t="s">
        <v>236</v>
      </c>
      <c r="Q15" s="67">
        <v>0.14199999999999999</v>
      </c>
    </row>
    <row r="16" spans="4:17">
      <c r="D16" s="80">
        <v>1</v>
      </c>
      <c r="E16" t="s">
        <v>299</v>
      </c>
      <c r="F16" s="64">
        <f t="shared" si="2"/>
        <v>13</v>
      </c>
      <c r="G16" s="65" t="s">
        <v>237</v>
      </c>
      <c r="H16" s="65" t="s">
        <v>238</v>
      </c>
      <c r="I16" s="65" t="s">
        <v>202</v>
      </c>
      <c r="J16" s="65">
        <v>83</v>
      </c>
      <c r="K16" s="65" t="s">
        <v>231</v>
      </c>
      <c r="L16" s="65" t="s">
        <v>204</v>
      </c>
      <c r="M16" s="75">
        <v>55605</v>
      </c>
      <c r="N16" s="76">
        <v>331</v>
      </c>
      <c r="O16" s="76">
        <f t="shared" si="0"/>
        <v>55936</v>
      </c>
      <c r="P16" s="66" t="s">
        <v>209</v>
      </c>
      <c r="Q16" s="67">
        <v>0.42</v>
      </c>
    </row>
    <row r="17" spans="4:17">
      <c r="D17" s="80">
        <v>1</v>
      </c>
      <c r="E17" t="s">
        <v>299</v>
      </c>
      <c r="F17" s="64">
        <f t="shared" si="2"/>
        <v>14</v>
      </c>
      <c r="G17" s="65" t="s">
        <v>239</v>
      </c>
      <c r="H17" s="65" t="s">
        <v>240</v>
      </c>
      <c r="I17" s="65" t="s">
        <v>202</v>
      </c>
      <c r="J17" s="65">
        <v>83</v>
      </c>
      <c r="K17" s="68" t="s">
        <v>215</v>
      </c>
      <c r="L17" s="65" t="s">
        <v>204</v>
      </c>
      <c r="M17" s="75">
        <v>133952</v>
      </c>
      <c r="N17" s="76">
        <v>36488</v>
      </c>
      <c r="O17" s="76">
        <f t="shared" si="0"/>
        <v>170440</v>
      </c>
      <c r="P17" s="66" t="s">
        <v>241</v>
      </c>
      <c r="Q17" s="67">
        <v>0.433</v>
      </c>
    </row>
    <row r="18" spans="4:17">
      <c r="D18" s="80">
        <v>1</v>
      </c>
      <c r="E18" t="s">
        <v>299</v>
      </c>
      <c r="F18" s="64">
        <f t="shared" si="2"/>
        <v>15</v>
      </c>
      <c r="G18" s="65" t="s">
        <v>242</v>
      </c>
      <c r="H18" s="69" t="s">
        <v>243</v>
      </c>
      <c r="I18" s="65" t="s">
        <v>202</v>
      </c>
      <c r="J18" s="65">
        <v>83</v>
      </c>
      <c r="K18" s="65" t="s">
        <v>231</v>
      </c>
      <c r="L18" s="65" t="s">
        <v>204</v>
      </c>
      <c r="M18" s="75">
        <v>19578</v>
      </c>
      <c r="N18" s="76">
        <v>0</v>
      </c>
      <c r="O18" s="76">
        <f t="shared" si="0"/>
        <v>19578</v>
      </c>
      <c r="P18" s="66" t="s">
        <v>209</v>
      </c>
      <c r="Q18" s="67">
        <v>0.156</v>
      </c>
    </row>
    <row r="19" spans="4:17">
      <c r="D19" s="80">
        <v>1</v>
      </c>
      <c r="E19" t="s">
        <v>299</v>
      </c>
      <c r="F19" s="64">
        <f t="shared" si="2"/>
        <v>16</v>
      </c>
      <c r="G19" s="65" t="s">
        <v>244</v>
      </c>
      <c r="H19" s="68" t="s">
        <v>245</v>
      </c>
      <c r="I19" s="65" t="s">
        <v>202</v>
      </c>
      <c r="J19" s="65">
        <v>82</v>
      </c>
      <c r="K19" s="68" t="s">
        <v>215</v>
      </c>
      <c r="L19" s="65" t="s">
        <v>204</v>
      </c>
      <c r="M19" s="75">
        <v>18336</v>
      </c>
      <c r="N19" s="76">
        <v>0</v>
      </c>
      <c r="O19" s="76">
        <f t="shared" si="0"/>
        <v>18336</v>
      </c>
      <c r="P19" s="66" t="s">
        <v>205</v>
      </c>
      <c r="Q19" s="67">
        <v>7.5999999999999998E-2</v>
      </c>
    </row>
    <row r="20" spans="4:17">
      <c r="D20" s="80">
        <v>1</v>
      </c>
      <c r="E20" t="s">
        <v>299</v>
      </c>
      <c r="F20" s="64">
        <f t="shared" si="2"/>
        <v>17</v>
      </c>
      <c r="G20" s="65" t="s">
        <v>246</v>
      </c>
      <c r="H20" s="65" t="s">
        <v>247</v>
      </c>
      <c r="I20" s="65" t="s">
        <v>202</v>
      </c>
      <c r="J20" s="65">
        <v>82</v>
      </c>
      <c r="K20" s="65" t="s">
        <v>219</v>
      </c>
      <c r="L20" s="65" t="s">
        <v>204</v>
      </c>
      <c r="M20" s="75">
        <v>93184</v>
      </c>
      <c r="N20" s="76">
        <v>0</v>
      </c>
      <c r="O20" s="76">
        <f t="shared" si="0"/>
        <v>93184</v>
      </c>
      <c r="P20" s="66" t="s">
        <v>205</v>
      </c>
      <c r="Q20" s="67">
        <v>0.14599999999999999</v>
      </c>
    </row>
    <row r="21" spans="4:17">
      <c r="D21" s="80">
        <v>1</v>
      </c>
      <c r="E21" t="s">
        <v>299</v>
      </c>
      <c r="F21" s="64">
        <f t="shared" si="2"/>
        <v>18</v>
      </c>
      <c r="G21" s="65" t="s">
        <v>248</v>
      </c>
      <c r="H21" s="65" t="s">
        <v>249</v>
      </c>
      <c r="I21" s="65" t="s">
        <v>202</v>
      </c>
      <c r="J21" s="65">
        <v>82</v>
      </c>
      <c r="K21" s="65" t="s">
        <v>219</v>
      </c>
      <c r="L21" s="65" t="s">
        <v>204</v>
      </c>
      <c r="M21" s="75">
        <v>133952</v>
      </c>
      <c r="N21" s="76">
        <v>0</v>
      </c>
      <c r="O21" s="76">
        <f t="shared" si="0"/>
        <v>133952</v>
      </c>
      <c r="P21" s="66" t="s">
        <v>205</v>
      </c>
      <c r="Q21" s="67">
        <v>0.36599999999999999</v>
      </c>
    </row>
    <row r="22" spans="4:17">
      <c r="D22" s="80">
        <v>1</v>
      </c>
      <c r="E22" t="s">
        <v>299</v>
      </c>
      <c r="F22" s="64">
        <f t="shared" si="2"/>
        <v>19</v>
      </c>
      <c r="G22" s="65" t="s">
        <v>250</v>
      </c>
      <c r="H22" s="65" t="s">
        <v>251</v>
      </c>
      <c r="I22" s="65" t="s">
        <v>202</v>
      </c>
      <c r="J22" s="65">
        <v>82</v>
      </c>
      <c r="K22" s="68" t="s">
        <v>215</v>
      </c>
      <c r="L22" s="65" t="s">
        <v>204</v>
      </c>
      <c r="M22" s="75">
        <v>78715</v>
      </c>
      <c r="N22" s="76">
        <v>552</v>
      </c>
      <c r="O22" s="76">
        <f t="shared" si="0"/>
        <v>79267</v>
      </c>
      <c r="P22" s="66" t="s">
        <v>209</v>
      </c>
      <c r="Q22" s="67">
        <v>0.60199999999999998</v>
      </c>
    </row>
    <row r="23" spans="4:17">
      <c r="D23" s="80">
        <v>1</v>
      </c>
      <c r="E23" t="s">
        <v>299</v>
      </c>
      <c r="F23" s="70">
        <f t="shared" si="2"/>
        <v>20</v>
      </c>
      <c r="G23" s="65" t="s">
        <v>252</v>
      </c>
      <c r="H23" s="65" t="s">
        <v>253</v>
      </c>
      <c r="I23" s="65" t="s">
        <v>202</v>
      </c>
      <c r="J23" s="65">
        <v>83</v>
      </c>
      <c r="K23" s="65" t="s">
        <v>231</v>
      </c>
      <c r="L23" s="65" t="s">
        <v>204</v>
      </c>
      <c r="M23" s="75">
        <v>158461</v>
      </c>
      <c r="N23" s="76">
        <v>0</v>
      </c>
      <c r="O23" s="76">
        <f t="shared" si="0"/>
        <v>158461</v>
      </c>
      <c r="P23" s="66" t="s">
        <v>209</v>
      </c>
      <c r="Q23" s="67">
        <v>1.1719999999999999</v>
      </c>
    </row>
    <row r="24" spans="4:17">
      <c r="D24" s="80">
        <v>1</v>
      </c>
      <c r="E24" t="s">
        <v>300</v>
      </c>
      <c r="F24" s="64">
        <f t="shared" si="2"/>
        <v>21</v>
      </c>
      <c r="G24" s="65" t="s">
        <v>254</v>
      </c>
      <c r="H24" s="65" t="s">
        <v>255</v>
      </c>
      <c r="I24" s="65" t="s">
        <v>202</v>
      </c>
      <c r="J24" s="65">
        <v>99</v>
      </c>
      <c r="K24" s="68" t="s">
        <v>215</v>
      </c>
      <c r="L24" s="65" t="s">
        <v>204</v>
      </c>
      <c r="M24" s="75">
        <v>204939</v>
      </c>
      <c r="N24" s="76">
        <v>331</v>
      </c>
      <c r="O24" s="76">
        <f t="shared" si="0"/>
        <v>205270</v>
      </c>
      <c r="P24" s="66" t="s">
        <v>209</v>
      </c>
      <c r="Q24" s="67">
        <v>0.59899999999999998</v>
      </c>
    </row>
    <row r="25" spans="4:17">
      <c r="D25" s="80">
        <v>1</v>
      </c>
      <c r="E25" t="s">
        <v>300</v>
      </c>
      <c r="F25" s="64">
        <f t="shared" si="2"/>
        <v>22</v>
      </c>
      <c r="G25" s="65" t="s">
        <v>256</v>
      </c>
      <c r="H25" s="65" t="s">
        <v>257</v>
      </c>
      <c r="I25" s="65" t="s">
        <v>202</v>
      </c>
      <c r="J25" s="65">
        <v>99</v>
      </c>
      <c r="K25" s="65" t="s">
        <v>219</v>
      </c>
      <c r="L25" s="65" t="s">
        <v>204</v>
      </c>
      <c r="M25" s="75">
        <v>95312</v>
      </c>
      <c r="N25" s="76">
        <v>331</v>
      </c>
      <c r="O25" s="76">
        <f t="shared" si="0"/>
        <v>95643</v>
      </c>
      <c r="P25" s="66" t="s">
        <v>209</v>
      </c>
      <c r="Q25" s="67">
        <v>0.22500000000000001</v>
      </c>
    </row>
    <row r="26" spans="4:17">
      <c r="D26" s="80">
        <v>1</v>
      </c>
      <c r="E26" t="s">
        <v>300</v>
      </c>
      <c r="F26" s="64">
        <f t="shared" si="2"/>
        <v>23</v>
      </c>
      <c r="G26" s="65" t="s">
        <v>258</v>
      </c>
      <c r="H26" s="65" t="s">
        <v>259</v>
      </c>
      <c r="I26" s="65" t="s">
        <v>202</v>
      </c>
      <c r="J26" s="65">
        <v>99</v>
      </c>
      <c r="K26" s="65" t="s">
        <v>219</v>
      </c>
      <c r="L26" s="65" t="s">
        <v>204</v>
      </c>
      <c r="M26" s="75">
        <v>146979</v>
      </c>
      <c r="N26" s="76">
        <v>331</v>
      </c>
      <c r="O26" s="76">
        <f t="shared" si="0"/>
        <v>147310</v>
      </c>
      <c r="P26" s="66" t="s">
        <v>209</v>
      </c>
      <c r="Q26" s="67">
        <v>0.31</v>
      </c>
    </row>
    <row r="27" spans="4:17">
      <c r="D27" s="80">
        <v>1</v>
      </c>
      <c r="E27" t="s">
        <v>300</v>
      </c>
      <c r="F27" s="64">
        <f t="shared" si="2"/>
        <v>24</v>
      </c>
      <c r="G27" s="65" t="s">
        <v>260</v>
      </c>
      <c r="H27" s="65" t="s">
        <v>261</v>
      </c>
      <c r="I27" s="65" t="s">
        <v>202</v>
      </c>
      <c r="J27" s="65">
        <v>99</v>
      </c>
      <c r="K27" s="68" t="s">
        <v>215</v>
      </c>
      <c r="L27" s="65" t="s">
        <v>204</v>
      </c>
      <c r="M27" s="75">
        <v>43192</v>
      </c>
      <c r="N27" s="76">
        <v>331</v>
      </c>
      <c r="O27" s="76">
        <f t="shared" si="0"/>
        <v>43523</v>
      </c>
      <c r="P27" s="66" t="s">
        <v>209</v>
      </c>
      <c r="Q27" s="67">
        <v>1.159</v>
      </c>
    </row>
    <row r="28" spans="4:17" ht="16">
      <c r="D28" s="80">
        <v>2</v>
      </c>
      <c r="E28" t="s">
        <v>301</v>
      </c>
      <c r="F28" s="64">
        <f t="shared" si="2"/>
        <v>25</v>
      </c>
      <c r="G28" s="65" t="s">
        <v>262</v>
      </c>
      <c r="H28" s="71" t="s">
        <v>263</v>
      </c>
      <c r="I28" s="65" t="s">
        <v>202</v>
      </c>
      <c r="J28" s="65">
        <v>100</v>
      </c>
      <c r="K28" s="65" t="s">
        <v>219</v>
      </c>
      <c r="L28" s="65" t="s">
        <v>204</v>
      </c>
      <c r="M28" s="75">
        <v>1331200</v>
      </c>
      <c r="N28" s="76">
        <v>0</v>
      </c>
      <c r="O28" s="76">
        <f t="shared" si="0"/>
        <v>1331200</v>
      </c>
      <c r="P28" s="66" t="s">
        <v>205</v>
      </c>
      <c r="Q28" s="67">
        <v>2.1989999999999998</v>
      </c>
    </row>
    <row r="29" spans="4:17">
      <c r="D29" s="80"/>
      <c r="I29" s="65"/>
      <c r="J29" s="65"/>
      <c r="K29" s="65"/>
      <c r="L29" s="65"/>
      <c r="M29" s="77">
        <f>SUM(M4:M28)</f>
        <v>5865875</v>
      </c>
      <c r="N29" s="78">
        <f>SUM(N4:N28)</f>
        <v>1581960</v>
      </c>
      <c r="O29" s="78">
        <f t="shared" si="0"/>
        <v>7447835</v>
      </c>
      <c r="P29" s="72"/>
      <c r="Q29" s="73">
        <f>SUM(Q4:Q28)</f>
        <v>16.147000000000002</v>
      </c>
    </row>
    <row r="30" spans="4:17">
      <c r="D30" s="80"/>
      <c r="E30" t="s">
        <v>264</v>
      </c>
    </row>
    <row r="31" spans="4:17">
      <c r="D31" s="80"/>
    </row>
    <row r="32" spans="4:17">
      <c r="D32" s="81" t="s">
        <v>302</v>
      </c>
      <c r="E32" s="82" t="s">
        <v>188</v>
      </c>
      <c r="F32" s="83" t="s">
        <v>189</v>
      </c>
      <c r="G32" s="83" t="s">
        <v>190</v>
      </c>
      <c r="H32" s="83" t="s">
        <v>191</v>
      </c>
      <c r="I32" s="83" t="s">
        <v>192</v>
      </c>
      <c r="J32" s="83" t="s">
        <v>193</v>
      </c>
      <c r="K32" s="83" t="s">
        <v>194</v>
      </c>
      <c r="L32" s="83" t="s">
        <v>195</v>
      </c>
      <c r="M32" s="83" t="s">
        <v>196</v>
      </c>
      <c r="N32" s="84" t="s">
        <v>197</v>
      </c>
      <c r="O32" s="84" t="s">
        <v>303</v>
      </c>
      <c r="P32" s="84" t="s">
        <v>198</v>
      </c>
      <c r="Q32" s="85" t="s">
        <v>199</v>
      </c>
    </row>
    <row r="33" spans="3:17">
      <c r="C33" t="s">
        <v>445</v>
      </c>
      <c r="D33" s="80">
        <v>2</v>
      </c>
      <c r="E33" t="s">
        <v>265</v>
      </c>
      <c r="F33" s="74">
        <v>26</v>
      </c>
      <c r="G33" t="s">
        <v>266</v>
      </c>
      <c r="H33" t="s">
        <v>293</v>
      </c>
      <c r="M33" s="79">
        <v>246272</v>
      </c>
      <c r="N33" s="79">
        <v>6304</v>
      </c>
      <c r="O33" s="79">
        <f t="shared" ref="O33:O43" si="3">M33+N33</f>
        <v>252576</v>
      </c>
      <c r="P33" t="s">
        <v>267</v>
      </c>
      <c r="Q33" s="67">
        <v>0.42399999999999999</v>
      </c>
    </row>
    <row r="34" spans="3:17">
      <c r="C34" t="s">
        <v>445</v>
      </c>
      <c r="D34" s="80">
        <v>2</v>
      </c>
      <c r="E34" t="s">
        <v>265</v>
      </c>
      <c r="F34" s="74">
        <f t="shared" ref="F34:F43" si="4">F33+1</f>
        <v>27</v>
      </c>
      <c r="G34" t="s">
        <v>268</v>
      </c>
      <c r="H34" t="s">
        <v>294</v>
      </c>
      <c r="M34" s="79">
        <v>98277</v>
      </c>
      <c r="N34" s="79">
        <v>331</v>
      </c>
      <c r="O34" s="79">
        <f t="shared" si="3"/>
        <v>98608</v>
      </c>
      <c r="P34" t="s">
        <v>267</v>
      </c>
      <c r="Q34" s="67">
        <v>0.436</v>
      </c>
    </row>
    <row r="35" spans="3:17">
      <c r="C35" t="s">
        <v>445</v>
      </c>
      <c r="D35" s="80">
        <v>2</v>
      </c>
      <c r="E35" t="s">
        <v>265</v>
      </c>
      <c r="F35" s="74">
        <f t="shared" si="4"/>
        <v>28</v>
      </c>
      <c r="G35" t="s">
        <v>269</v>
      </c>
      <c r="H35" t="s">
        <v>295</v>
      </c>
      <c r="M35" s="79">
        <v>364928</v>
      </c>
      <c r="N35" s="79">
        <v>1421981</v>
      </c>
      <c r="O35" s="79">
        <f t="shared" si="3"/>
        <v>1786909</v>
      </c>
      <c r="P35" t="s">
        <v>270</v>
      </c>
      <c r="Q35" s="67">
        <v>1.585</v>
      </c>
    </row>
    <row r="36" spans="3:17">
      <c r="C36" t="s">
        <v>445</v>
      </c>
      <c r="D36" s="80">
        <v>2</v>
      </c>
      <c r="E36" t="s">
        <v>265</v>
      </c>
      <c r="F36" s="74">
        <f t="shared" si="4"/>
        <v>29</v>
      </c>
      <c r="G36" t="s">
        <v>271</v>
      </c>
      <c r="H36" t="s">
        <v>296</v>
      </c>
      <c r="M36" s="79">
        <v>407808</v>
      </c>
      <c r="N36" s="79">
        <v>333536</v>
      </c>
      <c r="O36" s="79">
        <f t="shared" si="3"/>
        <v>741344</v>
      </c>
      <c r="P36" t="s">
        <v>272</v>
      </c>
      <c r="Q36" s="67">
        <v>0.67</v>
      </c>
    </row>
    <row r="37" spans="3:17">
      <c r="C37" t="s">
        <v>445</v>
      </c>
      <c r="D37" s="80">
        <v>2</v>
      </c>
      <c r="E37" t="s">
        <v>265</v>
      </c>
      <c r="F37" s="74">
        <f t="shared" si="4"/>
        <v>30</v>
      </c>
      <c r="G37" t="s">
        <v>273</v>
      </c>
      <c r="H37" t="s">
        <v>297</v>
      </c>
      <c r="M37" s="79">
        <v>206336</v>
      </c>
      <c r="N37" s="79">
        <v>11936</v>
      </c>
      <c r="O37" s="79">
        <f t="shared" si="3"/>
        <v>218272</v>
      </c>
      <c r="P37" t="s">
        <v>274</v>
      </c>
      <c r="Q37" s="67">
        <v>0.372</v>
      </c>
    </row>
    <row r="38" spans="3:17">
      <c r="C38" t="s">
        <v>445</v>
      </c>
      <c r="D38" s="80">
        <v>2</v>
      </c>
      <c r="E38" t="s">
        <v>265</v>
      </c>
      <c r="F38" s="74">
        <f t="shared" si="4"/>
        <v>31</v>
      </c>
      <c r="G38" t="s">
        <v>275</v>
      </c>
      <c r="H38" t="s">
        <v>276</v>
      </c>
      <c r="M38" s="79">
        <v>102528</v>
      </c>
      <c r="N38" s="79">
        <v>18400</v>
      </c>
      <c r="O38" s="79">
        <f t="shared" si="3"/>
        <v>120928</v>
      </c>
      <c r="P38" t="s">
        <v>277</v>
      </c>
      <c r="Q38" s="67">
        <v>0.17499999999999999</v>
      </c>
    </row>
    <row r="39" spans="3:17">
      <c r="C39" t="s">
        <v>445</v>
      </c>
      <c r="D39" s="80">
        <v>2</v>
      </c>
      <c r="E39" t="s">
        <v>265</v>
      </c>
      <c r="F39" s="74">
        <f t="shared" si="4"/>
        <v>32</v>
      </c>
      <c r="G39" t="s">
        <v>283</v>
      </c>
      <c r="H39" t="s">
        <v>284</v>
      </c>
      <c r="M39" s="79">
        <v>41406</v>
      </c>
      <c r="N39" s="79">
        <v>4785</v>
      </c>
      <c r="O39" s="79">
        <f t="shared" si="3"/>
        <v>46191</v>
      </c>
      <c r="P39" t="s">
        <v>277</v>
      </c>
      <c r="Q39" s="67">
        <v>0.111</v>
      </c>
    </row>
    <row r="40" spans="3:17">
      <c r="C40" t="s">
        <v>445</v>
      </c>
      <c r="D40" s="80">
        <v>2</v>
      </c>
      <c r="E40" t="s">
        <v>265</v>
      </c>
      <c r="F40" s="74">
        <f t="shared" si="4"/>
        <v>33</v>
      </c>
      <c r="G40" t="s">
        <v>285</v>
      </c>
      <c r="H40" t="s">
        <v>286</v>
      </c>
      <c r="M40" s="79">
        <v>5536</v>
      </c>
      <c r="N40" s="79">
        <v>0</v>
      </c>
      <c r="O40" s="79">
        <f t="shared" si="3"/>
        <v>5536</v>
      </c>
      <c r="P40" t="s">
        <v>277</v>
      </c>
      <c r="Q40" s="67">
        <v>6.8000000000000005E-2</v>
      </c>
    </row>
    <row r="41" spans="3:17">
      <c r="C41" t="s">
        <v>445</v>
      </c>
      <c r="D41" s="80">
        <v>2</v>
      </c>
      <c r="E41" t="s">
        <v>287</v>
      </c>
      <c r="F41" s="74">
        <f t="shared" si="4"/>
        <v>34</v>
      </c>
      <c r="G41" t="s">
        <v>289</v>
      </c>
      <c r="H41" t="s">
        <v>290</v>
      </c>
      <c r="M41" s="79">
        <v>345600</v>
      </c>
      <c r="N41" s="79">
        <v>10816</v>
      </c>
      <c r="O41" s="79">
        <f t="shared" si="3"/>
        <v>356416</v>
      </c>
      <c r="P41" t="s">
        <v>288</v>
      </c>
      <c r="Q41" s="67">
        <v>0.57799999999999996</v>
      </c>
    </row>
    <row r="42" spans="3:17">
      <c r="C42" t="s">
        <v>445</v>
      </c>
      <c r="D42" s="80">
        <v>2</v>
      </c>
      <c r="E42" t="s">
        <v>287</v>
      </c>
      <c r="F42" s="74">
        <f t="shared" si="4"/>
        <v>35</v>
      </c>
      <c r="G42" t="s">
        <v>291</v>
      </c>
      <c r="H42" t="s">
        <v>292</v>
      </c>
      <c r="M42" s="79">
        <v>183669</v>
      </c>
      <c r="N42" s="79">
        <v>331</v>
      </c>
      <c r="O42" s="79">
        <f t="shared" si="3"/>
        <v>184000</v>
      </c>
      <c r="P42" t="s">
        <v>267</v>
      </c>
      <c r="Q42" s="67">
        <v>0.64</v>
      </c>
    </row>
    <row r="43" spans="3:17">
      <c r="C43" t="s">
        <v>445</v>
      </c>
      <c r="D43" s="80">
        <v>1</v>
      </c>
      <c r="E43" t="s">
        <v>278</v>
      </c>
      <c r="F43" s="70">
        <f t="shared" si="4"/>
        <v>36</v>
      </c>
      <c r="G43" s="65" t="s">
        <v>279</v>
      </c>
      <c r="H43" t="s">
        <v>280</v>
      </c>
      <c r="I43" s="65" t="s">
        <v>281</v>
      </c>
      <c r="M43" s="75">
        <v>350240</v>
      </c>
      <c r="N43" s="76">
        <v>49760</v>
      </c>
      <c r="O43" s="76">
        <f t="shared" si="3"/>
        <v>400000</v>
      </c>
      <c r="P43" s="66" t="s">
        <v>282</v>
      </c>
      <c r="Q43" s="67">
        <v>1.3160000000000001</v>
      </c>
    </row>
    <row r="44" spans="3:17">
      <c r="M44" s="77">
        <f>SUM(M33:M43)</f>
        <v>2352600</v>
      </c>
      <c r="N44" s="77">
        <f>SUM(N33:N43)</f>
        <v>1858180</v>
      </c>
      <c r="O44" s="77">
        <f>SUM(O33:O43)</f>
        <v>4210780</v>
      </c>
      <c r="P44" s="72"/>
      <c r="Q44" s="73">
        <f>SUM(Q33:Q43)</f>
        <v>6.3749999999999991</v>
      </c>
    </row>
    <row r="45" spans="3:17">
      <c r="M45" s="271"/>
      <c r="N45" s="271"/>
      <c r="O45" s="271"/>
      <c r="P45" s="272"/>
      <c r="Q45" s="273"/>
    </row>
    <row r="46" spans="3:17">
      <c r="D46" t="s">
        <v>431</v>
      </c>
      <c r="G46" s="175">
        <v>0.32</v>
      </c>
    </row>
    <row r="47" spans="3:17">
      <c r="D47" s="81" t="s">
        <v>304</v>
      </c>
      <c r="E47" s="81" t="s">
        <v>305</v>
      </c>
      <c r="F47" s="81"/>
      <c r="G47" s="81" t="s">
        <v>306</v>
      </c>
    </row>
    <row r="48" spans="3:17">
      <c r="D48" s="80">
        <v>1</v>
      </c>
      <c r="E48" s="80" t="s">
        <v>307</v>
      </c>
      <c r="F48" s="80"/>
      <c r="G48" s="86">
        <f ca="1">SUMIF($D$4:$O$28,D48,$O$4:$O$28)/$G$46</f>
        <v>16023891.553125</v>
      </c>
    </row>
    <row r="49" spans="4:8">
      <c r="D49" s="87">
        <v>1</v>
      </c>
      <c r="E49" s="87" t="s">
        <v>308</v>
      </c>
      <c r="F49" s="87"/>
      <c r="G49" s="88">
        <f ca="1">SUMIF($D$33:$O$43,D49,$O$33:$O$43)/$G$46</f>
        <v>1250000</v>
      </c>
    </row>
    <row r="50" spans="4:8">
      <c r="D50" s="80">
        <v>2</v>
      </c>
      <c r="E50" s="80" t="s">
        <v>307</v>
      </c>
      <c r="F50" s="80"/>
      <c r="G50" s="86">
        <f ca="1">SUMIF($D$4:$O$28,D50,$O$4:$O$28)/$G$46</f>
        <v>7250600.9281250006</v>
      </c>
    </row>
    <row r="51" spans="4:8">
      <c r="D51" s="87">
        <v>2</v>
      </c>
      <c r="E51" s="87" t="s">
        <v>308</v>
      </c>
      <c r="F51" s="87"/>
      <c r="G51" s="88">
        <f ca="1">SUMIF($D$33:$O$43,D51,$O$33:$O$43)/$G$46</f>
        <v>11908687.5</v>
      </c>
    </row>
    <row r="52" spans="4:8">
      <c r="D52" s="80"/>
      <c r="E52" s="80"/>
      <c r="F52" s="80"/>
      <c r="G52" s="80"/>
    </row>
    <row r="53" spans="4:8">
      <c r="D53" s="81" t="s">
        <v>305</v>
      </c>
      <c r="E53" s="81" t="s">
        <v>310</v>
      </c>
      <c r="F53" s="81"/>
      <c r="G53" s="81" t="s">
        <v>188</v>
      </c>
    </row>
    <row r="54" spans="4:8">
      <c r="D54" s="80" t="s">
        <v>307</v>
      </c>
      <c r="E54" s="86">
        <f ca="1">G48+G50</f>
        <v>23274492.481249999</v>
      </c>
      <c r="F54" s="80"/>
      <c r="G54" s="80" t="s">
        <v>309</v>
      </c>
    </row>
    <row r="55" spans="4:8">
      <c r="D55" s="89" t="s">
        <v>308</v>
      </c>
      <c r="E55" s="90">
        <f ca="1">G49+G51</f>
        <v>13158687.5</v>
      </c>
      <c r="F55" s="89"/>
      <c r="G55" s="89" t="s">
        <v>309</v>
      </c>
    </row>
    <row r="56" spans="4:8">
      <c r="D56" s="80" t="s">
        <v>37</v>
      </c>
      <c r="E56" s="86">
        <f ca="1">E54+E55</f>
        <v>36433179.981250003</v>
      </c>
      <c r="F56" s="80"/>
      <c r="G56" s="80" t="s">
        <v>309</v>
      </c>
    </row>
    <row r="60" spans="4:8">
      <c r="H60" s="79"/>
    </row>
    <row r="61" spans="4:8">
      <c r="H61" s="79"/>
    </row>
  </sheetData>
  <pageMargins left="0.7" right="0.7" top="0.75" bottom="0.75" header="0.3" footer="0.3"/>
  <pageSetup scale="33" orientation="portrait" horizontalDpi="300" verticalDpi="300" r:id="rId1"/>
  <ignoredErrors>
    <ignoredError sqref="G49:G5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622BB-82E3-4038-AFE9-37EB1EA82F27}">
  <sheetPr>
    <tabColor theme="3"/>
    <pageSetUpPr fitToPage="1"/>
  </sheetPr>
  <dimension ref="B2:P85"/>
  <sheetViews>
    <sheetView showWhiteSpace="0" view="pageBreakPreview" topLeftCell="A52" zoomScaleNormal="100" zoomScaleSheetLayoutView="100" workbookViewId="0">
      <selection activeCell="F82" sqref="F82:G85"/>
    </sheetView>
  </sheetViews>
  <sheetFormatPr baseColWidth="10" defaultColWidth="9.1640625" defaultRowHeight="14" customHeight="1"/>
  <cols>
    <col min="1" max="1" width="3.5" style="176" customWidth="1"/>
    <col min="2" max="2" width="12.5" style="176" customWidth="1"/>
    <col min="3" max="3" width="20.5" style="176" customWidth="1"/>
    <col min="4" max="4" width="12.5" style="103" customWidth="1"/>
    <col min="5" max="14" width="13.5" style="176" customWidth="1"/>
    <col min="15" max="15" width="12.5" style="176" customWidth="1"/>
    <col min="16" max="16" width="9.1640625" style="176"/>
    <col min="17" max="17" width="11.1640625" style="176" bestFit="1" customWidth="1"/>
    <col min="18" max="16384" width="9.1640625" style="176"/>
  </cols>
  <sheetData>
    <row r="2" spans="2:15" s="91" customFormat="1" ht="13.5" customHeight="1">
      <c r="B2" s="427" t="s">
        <v>311</v>
      </c>
      <c r="C2" s="427"/>
      <c r="D2" s="428"/>
      <c r="E2" s="429"/>
      <c r="F2" s="429"/>
      <c r="G2" s="429"/>
      <c r="H2" s="429"/>
      <c r="I2" s="429"/>
      <c r="J2" s="429"/>
      <c r="K2" s="429"/>
      <c r="L2" s="429"/>
      <c r="M2" s="429"/>
      <c r="N2" s="430" t="s">
        <v>312</v>
      </c>
      <c r="O2" s="431" t="s">
        <v>442</v>
      </c>
    </row>
    <row r="3" spans="2:15" ht="11.25" customHeight="1">
      <c r="B3" s="92"/>
      <c r="C3" s="92"/>
      <c r="D3" s="323" t="s">
        <v>313</v>
      </c>
      <c r="E3" s="324"/>
      <c r="F3" s="406"/>
      <c r="G3" s="113"/>
      <c r="H3" s="163"/>
      <c r="I3" s="163"/>
      <c r="J3" s="163"/>
      <c r="K3" s="163"/>
      <c r="L3" s="163"/>
      <c r="M3" s="163"/>
      <c r="N3" s="163"/>
      <c r="O3" s="163"/>
    </row>
    <row r="4" spans="2:15" ht="11.25" customHeight="1">
      <c r="B4" s="93"/>
      <c r="C4" s="93"/>
      <c r="D4" s="94" t="s">
        <v>315</v>
      </c>
      <c r="E4" s="94">
        <v>2023</v>
      </c>
      <c r="F4" s="330">
        <f>E4+1</f>
        <v>2024</v>
      </c>
      <c r="G4" s="330">
        <f t="shared" ref="G4:L4" si="0">F4+1</f>
        <v>2025</v>
      </c>
      <c r="H4" s="331">
        <f t="shared" si="0"/>
        <v>2026</v>
      </c>
      <c r="I4" s="331">
        <f t="shared" si="0"/>
        <v>2027</v>
      </c>
      <c r="J4" s="331">
        <f t="shared" si="0"/>
        <v>2028</v>
      </c>
      <c r="K4" s="331">
        <f t="shared" si="0"/>
        <v>2029</v>
      </c>
      <c r="L4" s="331">
        <f t="shared" si="0"/>
        <v>2030</v>
      </c>
      <c r="M4" s="331">
        <f>L4+1</f>
        <v>2031</v>
      </c>
      <c r="N4" s="331">
        <f>M4+1</f>
        <v>2032</v>
      </c>
      <c r="O4" s="331">
        <f>N4+1</f>
        <v>2033</v>
      </c>
    </row>
    <row r="5" spans="2:15" ht="11.25" customHeight="1">
      <c r="B5" s="96" t="s">
        <v>316</v>
      </c>
      <c r="C5" s="96"/>
      <c r="D5" s="97"/>
      <c r="E5" s="98"/>
      <c r="F5" s="165"/>
      <c r="G5" s="165"/>
      <c r="H5" s="165"/>
      <c r="I5" s="165"/>
      <c r="J5" s="165"/>
      <c r="K5" s="165"/>
      <c r="L5" s="165"/>
      <c r="M5" s="313"/>
      <c r="N5" s="313"/>
      <c r="O5" s="313"/>
    </row>
    <row r="6" spans="2:15" ht="11.25" customHeight="1">
      <c r="B6" s="321" t="s">
        <v>317</v>
      </c>
      <c r="C6" s="407" t="s">
        <v>318</v>
      </c>
      <c r="D6" s="351"/>
      <c r="E6" s="342">
        <v>0</v>
      </c>
      <c r="F6" s="343">
        <f ca="1">'Phase I - CF MF Market Rental'!H63</f>
        <v>1257607.4569018639</v>
      </c>
      <c r="G6" s="343">
        <f ca="1">'Phase I - CF MF Market Rental'!I63</f>
        <v>1663263.2068362504</v>
      </c>
      <c r="H6" s="343">
        <f ca="1">'Phase I - CF MF Market Rental'!J63</f>
        <v>1701225.9017947495</v>
      </c>
      <c r="I6" s="343">
        <f ca="1">'Phase I - CF MF Market Rental'!K63</f>
        <v>1739670.4139589521</v>
      </c>
      <c r="J6" s="343">
        <f ca="1">'Phase I - CF MF Market Rental'!L63</f>
        <v>1778576.8875754911</v>
      </c>
      <c r="K6" s="343">
        <f ca="1">'Phase I - CF MF Market Rental'!M63</f>
        <v>1817923.1138617781</v>
      </c>
      <c r="L6" s="343">
        <f ca="1">'Phase I - CF MF Market Rental'!N63</f>
        <v>1857684.3710677354</v>
      </c>
      <c r="M6" s="343">
        <f ca="1">'Phase I - CF MF Market Rental'!O63</f>
        <v>1897833.2552099135</v>
      </c>
      <c r="N6" s="343">
        <f ca="1">'Phase I - CF MF Market Rental'!P63</f>
        <v>1938339.5009687783</v>
      </c>
      <c r="O6" s="343">
        <f ca="1">'Phase I - CF MF Market Rental'!Q63</f>
        <v>1979169.79221311</v>
      </c>
    </row>
    <row r="7" spans="2:15" ht="11.25" customHeight="1">
      <c r="B7" s="321" t="s">
        <v>319</v>
      </c>
      <c r="C7" s="407" t="s">
        <v>318</v>
      </c>
      <c r="D7" s="351"/>
      <c r="E7" s="342">
        <v>0</v>
      </c>
      <c r="F7" s="343">
        <f ca="1">'Phase I - CF Affordable'!H62</f>
        <v>84565.941648919761</v>
      </c>
      <c r="G7" s="343">
        <f ca="1">'Phase I - CF Affordable'!I62</f>
        <v>116197.49330989819</v>
      </c>
      <c r="H7" s="343">
        <f ca="1">'Phase I - CF Affordable'!J62</f>
        <v>118923.15835730733</v>
      </c>
      <c r="I7" s="343">
        <f ca="1">'Phase I - CF Affordable'!K62</f>
        <v>121683.05344837434</v>
      </c>
      <c r="J7" s="343">
        <f ca="1">'Phase I - CF Affordable'!L62</f>
        <v>124475.61854978956</v>
      </c>
      <c r="K7" s="343">
        <f ca="1">'Phase I - CF Affordable'!M62</f>
        <v>127299.11230004688</v>
      </c>
      <c r="L7" s="343">
        <f ca="1">'Phase I - CF Affordable'!N62</f>
        <v>130151.59968995498</v>
      </c>
      <c r="M7" s="408">
        <f ca="1">'Phase I - CF Affordable'!O62</f>
        <v>133030.9390240036</v>
      </c>
      <c r="N7" s="408">
        <f ca="1">'Phase I - CF Affordable'!P62</f>
        <v>135934.76812329231</v>
      </c>
      <c r="O7" s="408">
        <f ca="1">'Phase I - CF Affordable'!Q62</f>
        <v>138860.48972865532</v>
      </c>
    </row>
    <row r="8" spans="2:15" ht="11.25" customHeight="1">
      <c r="B8" s="445" t="s">
        <v>320</v>
      </c>
      <c r="C8" s="445"/>
      <c r="D8" s="351"/>
      <c r="E8" s="342">
        <v>0</v>
      </c>
      <c r="F8" s="343">
        <f ca="1">'Phase I - CF Commercial'!H58</f>
        <v>1757155.9099589344</v>
      </c>
      <c r="G8" s="343">
        <f ca="1">'Phase I - CF Commercial'!I58</f>
        <v>1817250.2940781135</v>
      </c>
      <c r="H8" s="343">
        <f ca="1">'Phase I - CF Commercial'!J58</f>
        <v>1879295.1038572751</v>
      </c>
      <c r="I8" s="343">
        <f ca="1">'Phase I - CF Commercial'!K58</f>
        <v>1943351.8039489491</v>
      </c>
      <c r="J8" s="343">
        <f ca="1">'Phase I - CF Commercial'!L58</f>
        <v>2009483.7619828912</v>
      </c>
      <c r="K8" s="343">
        <f ca="1">'Phase I - CF Commercial'!M58</f>
        <v>2077756.3068361622</v>
      </c>
      <c r="L8" s="343">
        <f ca="1">'Phase I - CF Commercial'!N58</f>
        <v>2148236.7886749064</v>
      </c>
      <c r="M8" s="408">
        <f ca="1">'Phase I - CF Commercial'!O58</f>
        <v>2220994.6408214867</v>
      </c>
      <c r="N8" s="408">
        <f ca="1">'Phase I - CF Commercial'!P58</f>
        <v>2296101.4435021901</v>
      </c>
      <c r="O8" s="408">
        <f ca="1">'Phase I - CF Commercial'!Q58</f>
        <v>2373630.9895324362</v>
      </c>
    </row>
    <row r="9" spans="2:15" ht="11.25" customHeight="1">
      <c r="B9" s="407"/>
      <c r="C9" s="407" t="s">
        <v>378</v>
      </c>
      <c r="D9" s="351"/>
      <c r="E9" s="342">
        <v>0</v>
      </c>
      <c r="F9" s="343">
        <f ca="1">'Phase I - CF Civic'!H64</f>
        <v>1440058.8995343721</v>
      </c>
      <c r="G9" s="343">
        <f ca="1">'Phase I - CF Civic'!I64</f>
        <v>1490114.8596050595</v>
      </c>
      <c r="H9" s="343">
        <f ca="1">'Phase I - CF Civic'!J64</f>
        <v>1541809.5823395606</v>
      </c>
      <c r="I9" s="343">
        <f ca="1">'Phase I - CF Civic'!K64</f>
        <v>1595194.972295024</v>
      </c>
      <c r="J9" s="343">
        <f ca="1">'Phase I - CF Civic'!L64</f>
        <v>1650324.5459988564</v>
      </c>
      <c r="K9" s="343">
        <f ca="1">'Phase I - CF Civic'!M64</f>
        <v>1707253.4814045033</v>
      </c>
      <c r="L9" s="343">
        <f ca="1">'Phase I - CF Civic'!N64</f>
        <v>1766038.668852834</v>
      </c>
      <c r="M9" s="408">
        <f ca="1">'Phase I - CF Civic'!O64</f>
        <v>1826738.7635847381</v>
      </c>
      <c r="N9" s="408">
        <f ca="1">'Phase I - CF Civic'!P64</f>
        <v>1889414.2398519255</v>
      </c>
      <c r="O9" s="408">
        <f ca="1">'Phase I - CF Civic'!Q64</f>
        <v>1954127.4466743218</v>
      </c>
    </row>
    <row r="10" spans="2:15" ht="11.25" customHeight="1">
      <c r="B10" s="445" t="s">
        <v>321</v>
      </c>
      <c r="C10" s="445"/>
      <c r="D10" s="351"/>
      <c r="E10" s="342">
        <v>0</v>
      </c>
      <c r="F10" s="343">
        <f ca="1">'Phase I - CF Retail'!H66</f>
        <v>2466439.1501756986</v>
      </c>
      <c r="G10" s="343">
        <f ca="1">'Phase I - CF Retail'!I66</f>
        <v>2545706.9821792124</v>
      </c>
      <c r="H10" s="343">
        <f ca="1">'Phase I - CF Retail'!J66</f>
        <v>2627458.3422927968</v>
      </c>
      <c r="I10" s="343">
        <f ca="1">'Phase I - CF Retail'!K66</f>
        <v>2711769.8462227527</v>
      </c>
      <c r="J10" s="343">
        <f ca="1">'Phase I - CF Retail'!L66</f>
        <v>2798720.4503438305</v>
      </c>
      <c r="K10" s="343">
        <f ca="1">'Phase I - CF Retail'!M66</f>
        <v>2888391.5227632285</v>
      </c>
      <c r="L10" s="343">
        <f ca="1">'Phase I - CF Retail'!N66</f>
        <v>2980866.9165333901</v>
      </c>
      <c r="M10" s="408">
        <f ca="1">'Phase I - CF Retail'!O66</f>
        <v>3076233.0450784033</v>
      </c>
      <c r="N10" s="408">
        <f ca="1">'Phase I - CF Retail'!P66</f>
        <v>3174578.9599007452</v>
      </c>
      <c r="O10" s="408">
        <f ca="1">'Phase I - CF Retail'!Q66</f>
        <v>3275996.430637158</v>
      </c>
    </row>
    <row r="11" spans="2:15" ht="11.25" customHeight="1">
      <c r="B11" s="445" t="s">
        <v>322</v>
      </c>
      <c r="C11" s="445"/>
      <c r="D11" s="351"/>
      <c r="E11" s="342">
        <v>0</v>
      </c>
      <c r="F11" s="342">
        <v>0</v>
      </c>
      <c r="G11" s="342">
        <v>0</v>
      </c>
      <c r="H11" s="342">
        <v>0</v>
      </c>
      <c r="I11" s="342">
        <v>0</v>
      </c>
      <c r="J11" s="342">
        <v>0</v>
      </c>
      <c r="K11" s="342">
        <v>0</v>
      </c>
      <c r="L11" s="342">
        <v>0</v>
      </c>
      <c r="M11" s="342">
        <v>0</v>
      </c>
      <c r="N11" s="342">
        <v>0</v>
      </c>
      <c r="O11" s="342">
        <v>0</v>
      </c>
    </row>
    <row r="12" spans="2:15" ht="11.25" customHeight="1">
      <c r="B12" s="446" t="s">
        <v>324</v>
      </c>
      <c r="C12" s="446"/>
      <c r="D12" s="352"/>
      <c r="E12" s="345">
        <v>0</v>
      </c>
      <c r="F12" s="346">
        <f t="shared" ref="F12:O12" ca="1" si="1">SUM(F6:F11)</f>
        <v>7005827.3582197893</v>
      </c>
      <c r="G12" s="346">
        <f t="shared" ca="1" si="1"/>
        <v>7632532.8360085338</v>
      </c>
      <c r="H12" s="346">
        <f t="shared" ca="1" si="1"/>
        <v>7868712.0886416892</v>
      </c>
      <c r="I12" s="346">
        <f t="shared" ca="1" si="1"/>
        <v>8111670.0898740515</v>
      </c>
      <c r="J12" s="346">
        <f t="shared" ca="1" si="1"/>
        <v>8361581.2644508593</v>
      </c>
      <c r="K12" s="346">
        <f t="shared" ca="1" si="1"/>
        <v>8618623.5371657182</v>
      </c>
      <c r="L12" s="346">
        <f t="shared" ca="1" si="1"/>
        <v>8882978.3448188212</v>
      </c>
      <c r="M12" s="347">
        <f t="shared" ca="1" si="1"/>
        <v>9154830.6437185444</v>
      </c>
      <c r="N12" s="347">
        <f t="shared" ca="1" si="1"/>
        <v>9434368.9123469312</v>
      </c>
      <c r="O12" s="347">
        <f t="shared" ca="1" si="1"/>
        <v>9721785.1487856805</v>
      </c>
    </row>
    <row r="13" spans="2:15" ht="11.25" customHeight="1">
      <c r="B13" s="446" t="s">
        <v>325</v>
      </c>
      <c r="C13" s="446"/>
      <c r="D13" s="352"/>
      <c r="E13" s="345">
        <v>0</v>
      </c>
      <c r="F13" s="346">
        <v>0</v>
      </c>
      <c r="G13" s="346">
        <v>0</v>
      </c>
      <c r="H13" s="346">
        <v>0</v>
      </c>
      <c r="I13" s="346">
        <v>0</v>
      </c>
      <c r="J13" s="346">
        <v>0</v>
      </c>
      <c r="K13" s="346">
        <v>0</v>
      </c>
      <c r="L13" s="346">
        <v>0</v>
      </c>
      <c r="M13" s="347">
        <v>0</v>
      </c>
      <c r="N13" s="348">
        <f ca="1">N31-N32</f>
        <v>174992132.67814225</v>
      </c>
      <c r="O13" s="346">
        <v>0</v>
      </c>
    </row>
    <row r="14" spans="2:15" ht="11.25" customHeight="1">
      <c r="B14" s="102"/>
      <c r="C14" s="102" t="s">
        <v>326</v>
      </c>
      <c r="D14" s="353"/>
      <c r="E14" s="349">
        <f t="shared" ref="E14:N14" si="2">E12+E13</f>
        <v>0</v>
      </c>
      <c r="F14" s="350">
        <f t="shared" ca="1" si="2"/>
        <v>7005827.3582197893</v>
      </c>
      <c r="G14" s="350">
        <f t="shared" ca="1" si="2"/>
        <v>7632532.8360085338</v>
      </c>
      <c r="H14" s="350">
        <f t="shared" ca="1" si="2"/>
        <v>7868712.0886416892</v>
      </c>
      <c r="I14" s="350">
        <f t="shared" ca="1" si="2"/>
        <v>8111670.0898740515</v>
      </c>
      <c r="J14" s="350">
        <f t="shared" ca="1" si="2"/>
        <v>8361581.2644508593</v>
      </c>
      <c r="K14" s="350">
        <f t="shared" ca="1" si="2"/>
        <v>8618623.5371657182</v>
      </c>
      <c r="L14" s="350">
        <f t="shared" ca="1" si="2"/>
        <v>8882978.3448188212</v>
      </c>
      <c r="M14" s="350">
        <f t="shared" ca="1" si="2"/>
        <v>9154830.6437185444</v>
      </c>
      <c r="N14" s="350">
        <f t="shared" ca="1" si="2"/>
        <v>184426501.59048918</v>
      </c>
      <c r="O14" s="350">
        <v>0</v>
      </c>
    </row>
    <row r="15" spans="2:15" s="108" customFormat="1" ht="11.25" customHeight="1">
      <c r="B15" s="104"/>
      <c r="C15" s="105"/>
      <c r="D15" s="106"/>
      <c r="E15" s="107"/>
    </row>
    <row r="16" spans="2:15" ht="11.25" customHeight="1">
      <c r="B16" s="96" t="s">
        <v>327</v>
      </c>
      <c r="C16" s="96"/>
      <c r="D16" s="354"/>
      <c r="I16" s="355"/>
      <c r="J16" s="355"/>
      <c r="K16" s="355"/>
      <c r="L16" s="355"/>
      <c r="M16" s="356"/>
      <c r="N16" s="356"/>
      <c r="O16" s="355"/>
    </row>
    <row r="17" spans="2:15" ht="11.25" customHeight="1">
      <c r="B17" s="321" t="s">
        <v>317</v>
      </c>
      <c r="C17" s="407" t="s">
        <v>318</v>
      </c>
      <c r="D17" s="351"/>
      <c r="E17" s="342">
        <f ca="1">-('Phase I - CF MF Market Rental'!R33-'Phase I - CF MF Market Rental'!G4-'Phase I - CF MF Market Rental'!G7-'Phase I - CF MF Market Rental'!G8)*Assumptions!O24</f>
        <v>-21229066.570872031</v>
      </c>
      <c r="F17" s="351">
        <f ca="1">-('Phase I - CF MF Market Rental'!R33-'Phase I - CF MF Market Rental'!G4-'Phase I - CF MF Market Rental'!G7-'Phase I - CF MF Market Rental'!G8)*Assumptions!O25</f>
        <v>-7076355.5236240104</v>
      </c>
      <c r="G17" s="351">
        <v>0</v>
      </c>
      <c r="H17" s="351">
        <v>0</v>
      </c>
      <c r="I17" s="351">
        <v>0</v>
      </c>
      <c r="J17" s="351">
        <v>0</v>
      </c>
      <c r="K17" s="351">
        <v>0</v>
      </c>
      <c r="L17" s="351">
        <v>0</v>
      </c>
      <c r="M17" s="351">
        <v>0</v>
      </c>
      <c r="N17" s="351">
        <v>0</v>
      </c>
      <c r="O17" s="351">
        <v>0</v>
      </c>
    </row>
    <row r="18" spans="2:15" ht="11.25" customHeight="1">
      <c r="B18" s="321" t="s">
        <v>319</v>
      </c>
      <c r="C18" s="407" t="s">
        <v>318</v>
      </c>
      <c r="D18" s="351"/>
      <c r="E18" s="342">
        <f ca="1">-('Phase I - CF Affordable'!R36-'Phase I - CF Affordable'!G4-'Phase I - CF Affordable'!G7-'Phase I - CF Affordable'!G8-'Phase I - CF Affordable'!R35)*Assumptions!O24</f>
        <v>-3746305.8654480055</v>
      </c>
      <c r="F18" s="351">
        <f ca="1">-('Phase I - CF Affordable'!R36-'Phase I - CF Affordable'!G4-'Phase I - CF Affordable'!G7-'Phase I - CF Affordable'!G8-'Phase I - CF Affordable'!R35)*Assumptions!O25</f>
        <v>-1248768.6218160018</v>
      </c>
      <c r="G18" s="351">
        <v>0</v>
      </c>
      <c r="H18" s="351">
        <v>0</v>
      </c>
      <c r="I18" s="351">
        <v>0</v>
      </c>
      <c r="J18" s="351">
        <v>0</v>
      </c>
      <c r="K18" s="351">
        <v>0</v>
      </c>
      <c r="L18" s="351">
        <v>0</v>
      </c>
      <c r="M18" s="351">
        <v>0</v>
      </c>
      <c r="N18" s="351">
        <v>0</v>
      </c>
      <c r="O18" s="351">
        <v>0</v>
      </c>
    </row>
    <row r="19" spans="2:15" ht="11.25" customHeight="1">
      <c r="B19" s="445" t="s">
        <v>320</v>
      </c>
      <c r="C19" s="445"/>
      <c r="D19" s="351"/>
      <c r="E19" s="343">
        <f ca="1">-('Phase I - CF Commercial'!R24-'Phase I - CF Commercial'!G4-'Phase I - CF Commercial'!G7-'Phase I - CF Commercial'!G8-'Phase I - CF Commercial'!R18)*Assumptions!O24</f>
        <v>-22972649.229757588</v>
      </c>
      <c r="F19" s="351">
        <f ca="1">-('Phase I - CF Commercial'!R24-'Phase I - CF Commercial'!G4-'Phase I - CF Commercial'!G7-'Phase I - CF Commercial'!G8-'Phase I - CF Commercial'!R18)*Assumptions!O25</f>
        <v>-7657549.7432525298</v>
      </c>
      <c r="G19" s="351">
        <v>0</v>
      </c>
      <c r="H19" s="351">
        <v>0</v>
      </c>
      <c r="I19" s="351">
        <v>0</v>
      </c>
      <c r="J19" s="351">
        <v>0</v>
      </c>
      <c r="K19" s="351">
        <v>0</v>
      </c>
      <c r="L19" s="351">
        <v>0</v>
      </c>
      <c r="M19" s="351">
        <v>0</v>
      </c>
      <c r="N19" s="351">
        <v>0</v>
      </c>
      <c r="O19" s="351">
        <v>0</v>
      </c>
    </row>
    <row r="20" spans="2:15" ht="11.25" customHeight="1">
      <c r="B20" s="407"/>
      <c r="C20" s="407" t="s">
        <v>378</v>
      </c>
      <c r="D20" s="351"/>
      <c r="E20" s="343">
        <f ca="1">-('Phase I - CF Civic'!R19-'Phase I - CF Civic'!G4-'Phase I - CF Civic'!G7-'Phase I - CF Civic'!G8-'Phase I - CF Civic'!R18)*Assumptions!O24</f>
        <v>-19062913.51956512</v>
      </c>
      <c r="F20" s="351">
        <f ca="1">-('Phase I - CF Civic'!R19-'Phase I - CF Civic'!G4-'Phase I - CF Civic'!G7-'Phase I - CF Civic'!G8-'Phase I - CF Civic'!R18)*Assumptions!O25</f>
        <v>-6354304.5065217065</v>
      </c>
      <c r="G20" s="351">
        <v>0</v>
      </c>
      <c r="H20" s="351">
        <v>0</v>
      </c>
      <c r="I20" s="351">
        <v>0</v>
      </c>
      <c r="J20" s="351">
        <v>0</v>
      </c>
      <c r="K20" s="351">
        <v>0</v>
      </c>
      <c r="L20" s="351">
        <v>0</v>
      </c>
      <c r="M20" s="351">
        <v>0</v>
      </c>
      <c r="N20" s="351">
        <v>0</v>
      </c>
      <c r="O20" s="351">
        <v>0</v>
      </c>
    </row>
    <row r="21" spans="2:15" ht="11.25" customHeight="1">
      <c r="B21" s="445" t="s">
        <v>328</v>
      </c>
      <c r="C21" s="445"/>
      <c r="D21" s="351"/>
      <c r="E21" s="343">
        <f ca="1">-('Phase I - CF Retail'!R19-'Phase I - CF Retail'!G4-'Phase I - CF Retail'!G7-'Phase I - CF Retail'!G8-'Phase I - CF Retail'!R18)*Assumptions!O24</f>
        <v>-14445735.00265385</v>
      </c>
      <c r="F21" s="351">
        <f ca="1">-('Phase I - CF Retail'!R19-'Phase I - CF Retail'!G4-'Phase I - CF Retail'!G7-'Phase I - CF Retail'!G8-'Phase I - CF Retail'!R18)*Assumptions!O25</f>
        <v>-4815245.0008846167</v>
      </c>
      <c r="G21" s="351">
        <v>0</v>
      </c>
      <c r="H21" s="351">
        <v>0</v>
      </c>
      <c r="I21" s="351">
        <v>0</v>
      </c>
      <c r="J21" s="351">
        <v>0</v>
      </c>
      <c r="K21" s="351">
        <v>0</v>
      </c>
      <c r="L21" s="351">
        <v>0</v>
      </c>
      <c r="M21" s="351">
        <v>0</v>
      </c>
      <c r="N21" s="351">
        <v>0</v>
      </c>
      <c r="O21" s="351">
        <v>0</v>
      </c>
    </row>
    <row r="22" spans="2:15" ht="11.25" customHeight="1">
      <c r="B22" s="445" t="s">
        <v>322</v>
      </c>
      <c r="C22" s="445"/>
      <c r="D22" s="351"/>
      <c r="E22" s="342">
        <v>0</v>
      </c>
      <c r="F22" s="351">
        <v>0</v>
      </c>
      <c r="G22" s="351">
        <v>0</v>
      </c>
      <c r="H22" s="351">
        <v>0</v>
      </c>
      <c r="I22" s="351">
        <v>0</v>
      </c>
      <c r="J22" s="351">
        <v>0</v>
      </c>
      <c r="K22" s="351">
        <v>0</v>
      </c>
      <c r="L22" s="351">
        <v>0</v>
      </c>
      <c r="M22" s="351">
        <v>0</v>
      </c>
      <c r="N22" s="351">
        <v>0</v>
      </c>
      <c r="O22" s="351">
        <v>0</v>
      </c>
    </row>
    <row r="23" spans="2:15" ht="11.25" customHeight="1">
      <c r="B23" s="445" t="s">
        <v>323</v>
      </c>
      <c r="C23" s="445"/>
      <c r="D23" s="351"/>
      <c r="E23" s="343">
        <f ca="1">-('Phase I - CF MF Market Rental'!G8+'Phase I - CF Commercial'!G8+'Phase I - CF Civic'!G8+'Phase I - CF Retail'!G8)*Assumptions!O24</f>
        <v>-6021159.9999999991</v>
      </c>
      <c r="F23" s="351">
        <f ca="1">-('Phase I - CF MF Market Rental'!G8+'Phase I - CF Commercial'!G8+'Phase I - CF Civic'!G8+'Phase I - CF Retail'!G8)*Assumptions!O25</f>
        <v>-2007053.333333333</v>
      </c>
      <c r="G23" s="351">
        <v>0</v>
      </c>
      <c r="H23" s="351">
        <v>0</v>
      </c>
      <c r="I23" s="351">
        <v>0</v>
      </c>
      <c r="J23" s="351">
        <v>0</v>
      </c>
      <c r="K23" s="351">
        <v>0</v>
      </c>
      <c r="L23" s="351">
        <v>0</v>
      </c>
      <c r="M23" s="351">
        <v>0</v>
      </c>
      <c r="N23" s="351">
        <v>0</v>
      </c>
      <c r="O23" s="351">
        <v>0</v>
      </c>
    </row>
    <row r="24" spans="2:15" ht="11.25" customHeight="1">
      <c r="B24" s="407"/>
      <c r="C24" s="407" t="s">
        <v>329</v>
      </c>
      <c r="D24" s="351"/>
      <c r="E24" s="343">
        <f ca="1">-('Phase I - CF MF Market Rental'!G4+'Phase I - CF Commercial'!G4+'Phase I - CF Civic'!G4+'Phase I - CF Retail'!G4+'Phase I - CF Affordable'!G4)</f>
        <v>-1249999.9999999998</v>
      </c>
      <c r="F24" s="351">
        <v>0</v>
      </c>
      <c r="G24" s="351">
        <v>0</v>
      </c>
      <c r="H24" s="351">
        <v>0</v>
      </c>
      <c r="I24" s="351">
        <v>0</v>
      </c>
      <c r="J24" s="351">
        <v>0</v>
      </c>
      <c r="K24" s="351">
        <v>0</v>
      </c>
      <c r="L24" s="351">
        <v>0</v>
      </c>
      <c r="M24" s="351">
        <v>0</v>
      </c>
      <c r="N24" s="351">
        <v>0</v>
      </c>
      <c r="O24" s="351">
        <v>0</v>
      </c>
    </row>
    <row r="25" spans="2:15" ht="11.25" customHeight="1">
      <c r="B25" s="445" t="s">
        <v>330</v>
      </c>
      <c r="C25" s="445"/>
      <c r="D25" s="351"/>
      <c r="E25" s="343">
        <f ca="1">-('Phase I - CF MF Market Rental'!G7+'Phase I - CF Commercial'!G7+'Phase I - CF Civic'!G7+'Phase I - CF Retail'!G7+'Phase I - CF Affordable'!G7)*Assumptions!O24</f>
        <v>-2277785.0910347197</v>
      </c>
      <c r="F25" s="351">
        <f ca="1">-('Phase I - CF MF Market Rental'!G7+'Phase I - CF Commercial'!G7+'Phase I - CF Civic'!G7+'Phase I - CF Retail'!G7+'Phase I - CF Affordable'!G7)*Assumptions!O25</f>
        <v>-759261.69701157324</v>
      </c>
      <c r="G25" s="351">
        <v>0</v>
      </c>
      <c r="H25" s="351">
        <v>0</v>
      </c>
      <c r="I25" s="351">
        <v>0</v>
      </c>
      <c r="J25" s="351">
        <v>0</v>
      </c>
      <c r="K25" s="351">
        <v>0</v>
      </c>
      <c r="L25" s="351">
        <v>0</v>
      </c>
      <c r="M25" s="351">
        <v>0</v>
      </c>
      <c r="N25" s="351">
        <v>0</v>
      </c>
      <c r="O25" s="351">
        <v>0</v>
      </c>
    </row>
    <row r="26" spans="2:15" ht="11.25" customHeight="1">
      <c r="B26" s="172"/>
      <c r="C26" s="172" t="s">
        <v>331</v>
      </c>
      <c r="D26" s="353"/>
      <c r="E26" s="343">
        <f ca="1">-('Phase I - CF MF Market Rental'!R34+'Phase I - CF Commercial'!R18+'Phase I - CF Civic'!R18+'Phase I - CF Retail'!R18+'Phase I - CF Affordable'!R35)*Assumptions!O24</f>
        <v>-906931.15279331314</v>
      </c>
      <c r="F26" s="353">
        <f ca="1">-('Phase I - CF MF Market Rental'!R34+'Phase I - CF Commercial'!R18+'Phase I - CF Civic'!R18+'Phase I - CF Retail'!R18+'Phase I - CF Affordable'!R35)*Assumptions!O25</f>
        <v>-302310.38426443771</v>
      </c>
      <c r="G26" s="353">
        <v>0</v>
      </c>
      <c r="H26" s="353">
        <v>0</v>
      </c>
      <c r="I26" s="353">
        <v>0</v>
      </c>
      <c r="J26" s="353">
        <v>0</v>
      </c>
      <c r="K26" s="353">
        <v>0</v>
      </c>
      <c r="L26" s="353">
        <v>0</v>
      </c>
      <c r="M26" s="353">
        <v>0</v>
      </c>
      <c r="N26" s="353">
        <v>0</v>
      </c>
      <c r="O26" s="353">
        <v>0</v>
      </c>
    </row>
    <row r="27" spans="2:15" ht="11.25" customHeight="1">
      <c r="B27" s="446" t="s">
        <v>332</v>
      </c>
      <c r="C27" s="446"/>
      <c r="D27" s="345"/>
      <c r="E27" s="345">
        <f ca="1">SUM(E17:E26)</f>
        <v>-91912546.432124645</v>
      </c>
      <c r="F27" s="345">
        <f ca="1">SUM(F17:F26)</f>
        <v>-30220848.81070821</v>
      </c>
      <c r="G27" s="345">
        <f t="shared" ref="G27:H27" si="3">SUM(G17:G26)</f>
        <v>0</v>
      </c>
      <c r="H27" s="345">
        <f t="shared" si="3"/>
        <v>0</v>
      </c>
      <c r="I27" s="345">
        <f t="shared" ref="I27:O27" si="4">SUM(I17:I26)</f>
        <v>0</v>
      </c>
      <c r="J27" s="345">
        <f t="shared" si="4"/>
        <v>0</v>
      </c>
      <c r="K27" s="345">
        <f t="shared" si="4"/>
        <v>0</v>
      </c>
      <c r="L27" s="345">
        <f t="shared" si="4"/>
        <v>0</v>
      </c>
      <c r="M27" s="345">
        <f t="shared" si="4"/>
        <v>0</v>
      </c>
      <c r="N27" s="345">
        <f t="shared" si="4"/>
        <v>0</v>
      </c>
      <c r="O27" s="345">
        <f t="shared" si="4"/>
        <v>0</v>
      </c>
    </row>
    <row r="28" spans="2:15" s="111" customFormat="1" ht="11.25" customHeight="1">
      <c r="B28" s="109"/>
      <c r="C28" s="109"/>
      <c r="D28" s="110"/>
      <c r="E28" s="328"/>
      <c r="G28" s="329"/>
      <c r="M28" s="112"/>
      <c r="N28" s="112"/>
    </row>
    <row r="29" spans="2:15" ht="11.25" customHeight="1">
      <c r="B29" s="170" t="s">
        <v>333</v>
      </c>
      <c r="C29" s="170"/>
      <c r="D29" s="113"/>
      <c r="E29" s="332"/>
      <c r="F29" s="333"/>
      <c r="G29" s="333"/>
      <c r="H29" s="333"/>
      <c r="I29" s="333"/>
      <c r="J29" s="333"/>
      <c r="K29" s="333"/>
      <c r="L29" s="333"/>
      <c r="M29" s="334"/>
      <c r="N29" s="334"/>
      <c r="O29" s="334"/>
    </row>
    <row r="30" spans="2:15" ht="11.25" customHeight="1">
      <c r="B30" s="445" t="s">
        <v>334</v>
      </c>
      <c r="C30" s="445"/>
      <c r="D30" s="99"/>
      <c r="E30" s="342">
        <f t="shared" ref="E30:O30" si="5">E12</f>
        <v>0</v>
      </c>
      <c r="F30" s="342">
        <f t="shared" ca="1" si="5"/>
        <v>7005827.3582197893</v>
      </c>
      <c r="G30" s="342">
        <f t="shared" ca="1" si="5"/>
        <v>7632532.8360085338</v>
      </c>
      <c r="H30" s="342">
        <f t="shared" ca="1" si="5"/>
        <v>7868712.0886416892</v>
      </c>
      <c r="I30" s="342">
        <f t="shared" ca="1" si="5"/>
        <v>8111670.0898740515</v>
      </c>
      <c r="J30" s="342">
        <f t="shared" ca="1" si="5"/>
        <v>8361581.2644508593</v>
      </c>
      <c r="K30" s="342">
        <f t="shared" ca="1" si="5"/>
        <v>8618623.5371657182</v>
      </c>
      <c r="L30" s="342">
        <f t="shared" ca="1" si="5"/>
        <v>8882978.3448188212</v>
      </c>
      <c r="M30" s="342">
        <f t="shared" ca="1" si="5"/>
        <v>9154830.6437185444</v>
      </c>
      <c r="N30" s="342">
        <f t="shared" ca="1" si="5"/>
        <v>9434368.9123469312</v>
      </c>
      <c r="O30" s="342">
        <f t="shared" ca="1" si="5"/>
        <v>9721785.1487856805</v>
      </c>
    </row>
    <row r="31" spans="2:15" ht="11.25" customHeight="1">
      <c r="B31" s="407"/>
      <c r="C31" s="407" t="s">
        <v>335</v>
      </c>
      <c r="D31" s="335"/>
      <c r="E31" s="350"/>
      <c r="F31" s="350"/>
      <c r="G31" s="350"/>
      <c r="H31" s="342"/>
      <c r="I31" s="342"/>
      <c r="J31" s="342"/>
      <c r="K31" s="342"/>
      <c r="L31" s="342"/>
      <c r="M31" s="342"/>
      <c r="N31" s="342">
        <f ca="1">IF(N4&gt;Assumptions!$C$65,'Summary Board PH1'!O30/Assumptions!$D$75)</f>
        <v>176759729.97792146</v>
      </c>
      <c r="O31" s="343">
        <v>0</v>
      </c>
    </row>
    <row r="32" spans="2:15" ht="11.25" customHeight="1">
      <c r="B32" s="312"/>
      <c r="C32" s="407" t="s">
        <v>336</v>
      </c>
      <c r="D32" s="336"/>
      <c r="E32" s="342"/>
      <c r="F32" s="343"/>
      <c r="G32" s="343"/>
      <c r="H32" s="342"/>
      <c r="I32" s="342"/>
      <c r="J32" s="342"/>
      <c r="K32" s="342"/>
      <c r="L32" s="342"/>
      <c r="M32" s="342"/>
      <c r="N32" s="342">
        <f ca="1">Assumptions!$D$76*N31</f>
        <v>1767597.2997792147</v>
      </c>
      <c r="O32" s="343">
        <v>0</v>
      </c>
    </row>
    <row r="33" spans="2:16" ht="11.25" customHeight="1">
      <c r="B33" s="445" t="s">
        <v>332</v>
      </c>
      <c r="C33" s="445"/>
      <c r="D33" s="339"/>
      <c r="E33" s="342">
        <f ca="1">E27</f>
        <v>-91912546.432124645</v>
      </c>
      <c r="F33" s="342">
        <f ca="1">F27</f>
        <v>-30220848.81070821</v>
      </c>
      <c r="G33" s="342">
        <f>G27</f>
        <v>0</v>
      </c>
      <c r="H33" s="342">
        <f>H27</f>
        <v>0</v>
      </c>
      <c r="I33" s="342">
        <f t="shared" ref="I33:N33" si="6">I27</f>
        <v>0</v>
      </c>
      <c r="J33" s="342">
        <f t="shared" si="6"/>
        <v>0</v>
      </c>
      <c r="K33" s="342">
        <f t="shared" si="6"/>
        <v>0</v>
      </c>
      <c r="L33" s="342">
        <f t="shared" si="6"/>
        <v>0</v>
      </c>
      <c r="M33" s="342">
        <f t="shared" si="6"/>
        <v>0</v>
      </c>
      <c r="N33" s="342">
        <f t="shared" si="6"/>
        <v>0</v>
      </c>
      <c r="O33" s="343">
        <v>0</v>
      </c>
    </row>
    <row r="34" spans="2:16" ht="11.25" customHeight="1">
      <c r="B34" s="114" t="s">
        <v>142</v>
      </c>
      <c r="C34" s="115"/>
      <c r="D34" s="93"/>
      <c r="E34" s="345">
        <f t="shared" ref="E34:N34" ca="1" si="7">E33+E30+E31-E32</f>
        <v>-91912546.432124645</v>
      </c>
      <c r="F34" s="345">
        <f t="shared" ca="1" si="7"/>
        <v>-23215021.452488422</v>
      </c>
      <c r="G34" s="345">
        <f t="shared" ca="1" si="7"/>
        <v>7632532.8360085338</v>
      </c>
      <c r="H34" s="346">
        <f t="shared" ca="1" si="7"/>
        <v>7868712.0886416892</v>
      </c>
      <c r="I34" s="346">
        <f t="shared" ca="1" si="7"/>
        <v>8111670.0898740515</v>
      </c>
      <c r="J34" s="346">
        <f t="shared" ca="1" si="7"/>
        <v>8361581.2644508593</v>
      </c>
      <c r="K34" s="346">
        <f t="shared" ca="1" si="7"/>
        <v>8618623.5371657182</v>
      </c>
      <c r="L34" s="346">
        <f t="shared" ca="1" si="7"/>
        <v>8882978.3448188212</v>
      </c>
      <c r="M34" s="356">
        <f t="shared" ca="1" si="7"/>
        <v>9154830.6437185444</v>
      </c>
      <c r="N34" s="356">
        <f t="shared" ca="1" si="7"/>
        <v>184426501.59048918</v>
      </c>
      <c r="O34" s="346">
        <v>0</v>
      </c>
    </row>
    <row r="35" spans="2:16" ht="11.25" customHeight="1">
      <c r="B35" s="114" t="s">
        <v>337</v>
      </c>
      <c r="C35" s="115"/>
      <c r="D35" s="93"/>
      <c r="E35" s="366">
        <f ca="1">E30+E31-E32+E33+E36+L68</f>
        <v>-12756815.786422163</v>
      </c>
      <c r="F35" s="366">
        <f t="shared" ref="F35:G35" ca="1" si="8">F30+F31-F32+F33+F36</f>
        <v>-28025831.716560572</v>
      </c>
      <c r="G35" s="366">
        <f t="shared" ca="1" si="8"/>
        <v>2821722.5719363857</v>
      </c>
      <c r="H35" s="366">
        <f t="shared" ref="H35:N35" ca="1" si="9">H30+H31-H32+H33+H36</f>
        <v>3057901.824569541</v>
      </c>
      <c r="I35" s="366">
        <f t="shared" ca="1" si="9"/>
        <v>3300859.8258019034</v>
      </c>
      <c r="J35" s="366">
        <f t="shared" ca="1" si="9"/>
        <v>3550771.0003787111</v>
      </c>
      <c r="K35" s="366">
        <f t="shared" ca="1" si="9"/>
        <v>3807813.27309357</v>
      </c>
      <c r="L35" s="366">
        <f t="shared" ca="1" si="9"/>
        <v>4072168.080746673</v>
      </c>
      <c r="M35" s="366">
        <f t="shared" ca="1" si="9"/>
        <v>4344020.3796463963</v>
      </c>
      <c r="N35" s="366">
        <f t="shared" ca="1" si="9"/>
        <v>116442525.89367555</v>
      </c>
      <c r="O35" s="346">
        <v>0</v>
      </c>
    </row>
    <row r="36" spans="2:16" ht="11.25" customHeight="1">
      <c r="B36" s="114" t="s">
        <v>338</v>
      </c>
      <c r="C36" s="115"/>
      <c r="D36" s="93"/>
      <c r="E36" s="346">
        <f>'Phase I - CF MF Market Rental'!G78+'Phase I - CF Commercial'!G79+'Phase I - CF Civic'!G79+'Phase I - CF Retail'!G81</f>
        <v>0</v>
      </c>
      <c r="F36" s="346">
        <f ca="1">'Phase I - CF MF Market Rental'!H78+'Phase I - CF Commercial'!H79+'Phase I - CF Civic'!H79+'Phase I - CF Retail'!H81</f>
        <v>-4810810.2640721481</v>
      </c>
      <c r="G36" s="346">
        <f ca="1">'Phase I - CF MF Market Rental'!I78+'Phase I - CF Commercial'!I79+'Phase I - CF Civic'!I79+'Phase I - CF Retail'!I81</f>
        <v>-4810810.2640721481</v>
      </c>
      <c r="H36" s="346">
        <f ca="1">'Phase I - CF MF Market Rental'!J78+'Phase I - CF Commercial'!J79+'Phase I - CF Civic'!J79+'Phase I - CF Retail'!J81</f>
        <v>-4810810.2640721481</v>
      </c>
      <c r="I36" s="346">
        <f ca="1">'Phase I - CF MF Market Rental'!K78+'Phase I - CF Commercial'!K79+'Phase I - CF Civic'!K79+'Phase I - CF Retail'!K81</f>
        <v>-4810810.2640721481</v>
      </c>
      <c r="J36" s="346">
        <f ca="1">'Phase I - CF MF Market Rental'!L78+'Phase I - CF Commercial'!L79+'Phase I - CF Civic'!L79+'Phase I - CF Retail'!L81</f>
        <v>-4810810.2640721481</v>
      </c>
      <c r="K36" s="346">
        <f ca="1">'Phase I - CF MF Market Rental'!M78+'Phase I - CF Commercial'!M79+'Phase I - CF Civic'!M79+'Phase I - CF Retail'!M81</f>
        <v>-4810810.2640721481</v>
      </c>
      <c r="L36" s="346">
        <f ca="1">'Phase I - CF MF Market Rental'!N78+'Phase I - CF Commercial'!N79+'Phase I - CF Civic'!N79+'Phase I - CF Retail'!N81</f>
        <v>-4810810.2640721481</v>
      </c>
      <c r="M36" s="346">
        <f ca="1">'Phase I - CF MF Market Rental'!O78+'Phase I - CF Commercial'!O79+'Phase I - CF Civic'!O79+'Phase I - CF Retail'!O81</f>
        <v>-4810810.2640721481</v>
      </c>
      <c r="N36" s="346">
        <f ca="1">'Phase I - CF MF Market Rental'!P78+'Phase I - CF Commercial'!P79+'Phase I - CF Civic'!P79+'Phase I - CF Retail'!P81</f>
        <v>-67983975.696813628</v>
      </c>
      <c r="O36" s="346">
        <v>0</v>
      </c>
    </row>
    <row r="37" spans="2:16" ht="11.25" customHeight="1">
      <c r="B37" s="116" t="s">
        <v>339</v>
      </c>
      <c r="C37" s="116"/>
      <c r="D37" s="414">
        <f ca="1">NPV(Assumptions!D77,'Summary Board PH1'!F14:N14)+(SUM('Summary Board PH1'!E27:N27))</f>
        <v>21486434.787253931</v>
      </c>
      <c r="E37" s="117"/>
      <c r="F37" s="409"/>
      <c r="G37" s="409"/>
      <c r="I37" s="409"/>
      <c r="J37" s="409"/>
      <c r="K37" s="409"/>
      <c r="L37" s="409"/>
      <c r="M37" s="313"/>
      <c r="N37" s="313"/>
      <c r="O37" s="409"/>
    </row>
    <row r="38" spans="2:16" ht="11.25" customHeight="1">
      <c r="B38" s="114" t="s">
        <v>340</v>
      </c>
      <c r="C38" s="118"/>
      <c r="D38" s="365">
        <f ca="1">L70/J40</f>
        <v>0.44781540826968674</v>
      </c>
      <c r="E38" s="101"/>
      <c r="F38" s="171"/>
      <c r="G38" s="171"/>
      <c r="H38" s="116"/>
      <c r="I38" s="171"/>
      <c r="J38" s="171"/>
      <c r="K38" s="171"/>
      <c r="L38" s="171"/>
      <c r="M38" s="92"/>
      <c r="N38" s="357"/>
      <c r="O38" s="171"/>
    </row>
    <row r="39" spans="2:16" ht="11.25" customHeight="1">
      <c r="B39" s="118" t="s">
        <v>341</v>
      </c>
      <c r="C39" s="118"/>
      <c r="D39" s="364">
        <f ca="1">IRR(E34:N34)</f>
        <v>0.1023924753776384</v>
      </c>
      <c r="E39" s="101"/>
      <c r="F39" s="171"/>
      <c r="G39" s="119" t="s">
        <v>342</v>
      </c>
      <c r="H39" s="409"/>
      <c r="I39" s="120"/>
      <c r="J39" s="337">
        <f ca="1">Parcels!G48+Parcels!G50</f>
        <v>23274492.481249999</v>
      </c>
      <c r="K39" s="171"/>
      <c r="L39" s="171"/>
      <c r="M39" s="315"/>
      <c r="N39" s="315"/>
      <c r="O39" s="171"/>
    </row>
    <row r="40" spans="2:16" ht="11.25" customHeight="1">
      <c r="B40" s="118" t="s">
        <v>343</v>
      </c>
      <c r="C40" s="118"/>
      <c r="D40" s="364">
        <f ca="1">IRR(E35:N35)</f>
        <v>0.1833259738194073</v>
      </c>
      <c r="E40" s="101"/>
      <c r="F40" s="171"/>
      <c r="G40" s="121" t="s">
        <v>344</v>
      </c>
      <c r="H40" s="171"/>
      <c r="I40" s="122"/>
      <c r="J40" s="338">
        <f ca="1">N31</f>
        <v>176759729.97792146</v>
      </c>
      <c r="K40" s="171"/>
      <c r="L40" s="171"/>
      <c r="M40" s="315"/>
      <c r="N40" s="315"/>
      <c r="O40" s="171"/>
    </row>
    <row r="41" spans="2:16" ht="11.25" customHeight="1">
      <c r="N41" s="123"/>
      <c r="O41" s="124"/>
    </row>
    <row r="42" spans="2:16" s="91" customFormat="1" ht="11.25" customHeight="1">
      <c r="B42" s="447" t="s">
        <v>345</v>
      </c>
      <c r="C42" s="447"/>
      <c r="D42" s="448"/>
      <c r="E42" s="449"/>
      <c r="F42" s="449"/>
      <c r="G42" s="449"/>
      <c r="H42" s="449"/>
      <c r="I42" s="449"/>
      <c r="J42" s="449"/>
      <c r="K42" s="449"/>
      <c r="L42" s="449"/>
      <c r="M42" s="449"/>
      <c r="N42" s="449"/>
      <c r="O42" s="449"/>
    </row>
    <row r="43" spans="2:16" ht="11.25" customHeight="1">
      <c r="E43" s="98" t="s">
        <v>346</v>
      </c>
      <c r="F43" s="165"/>
      <c r="G43" s="165"/>
      <c r="H43" s="165"/>
      <c r="I43" s="165"/>
      <c r="J43" s="165"/>
      <c r="K43" s="165"/>
      <c r="L43" s="165"/>
      <c r="M43" s="165"/>
      <c r="N43" s="165"/>
      <c r="O43" s="165"/>
    </row>
    <row r="44" spans="2:16" s="103" customFormat="1" ht="11.25" customHeight="1">
      <c r="B44" s="93"/>
      <c r="C44" s="93"/>
      <c r="D44" s="115" t="s">
        <v>347</v>
      </c>
      <c r="E44" s="95">
        <v>2020</v>
      </c>
      <c r="F44" s="94">
        <f t="shared" ref="F44:L44" si="10">E44+1</f>
        <v>2021</v>
      </c>
      <c r="G44" s="94">
        <f t="shared" si="10"/>
        <v>2022</v>
      </c>
      <c r="H44" s="94">
        <f t="shared" si="10"/>
        <v>2023</v>
      </c>
      <c r="I44" s="367">
        <f t="shared" si="10"/>
        <v>2024</v>
      </c>
      <c r="J44" s="367">
        <f t="shared" si="10"/>
        <v>2025</v>
      </c>
      <c r="K44" s="368">
        <f t="shared" si="10"/>
        <v>2026</v>
      </c>
      <c r="L44" s="368">
        <f t="shared" si="10"/>
        <v>2027</v>
      </c>
      <c r="M44" s="368">
        <f>L44+1</f>
        <v>2028</v>
      </c>
      <c r="N44" s="368">
        <f>M44+1</f>
        <v>2029</v>
      </c>
    </row>
    <row r="45" spans="2:16" ht="11.25" customHeight="1">
      <c r="B45" s="96" t="s">
        <v>348</v>
      </c>
      <c r="C45" s="96"/>
      <c r="D45" s="125"/>
      <c r="E45" s="98"/>
      <c r="F45" s="165"/>
      <c r="G45" s="165"/>
      <c r="H45" s="165"/>
      <c r="I45" s="165"/>
      <c r="J45" s="165"/>
      <c r="K45" s="165"/>
      <c r="L45" s="165"/>
      <c r="M45" s="313"/>
      <c r="N45" s="313"/>
      <c r="O45" s="165"/>
    </row>
    <row r="46" spans="2:16" ht="11.25" customHeight="1">
      <c r="B46" s="321" t="s">
        <v>317</v>
      </c>
      <c r="C46" s="407" t="s">
        <v>318</v>
      </c>
      <c r="D46" s="99" t="s">
        <v>349</v>
      </c>
      <c r="E46" s="100"/>
      <c r="F46" s="178"/>
      <c r="G46" s="178"/>
      <c r="H46" s="178"/>
      <c r="I46" s="369">
        <f ca="1">'Phase I - CF MF Market Rental'!$G$17</f>
        <v>104</v>
      </c>
      <c r="J46" s="369">
        <f ca="1">'Phase I - CF MF Market Rental'!$G$17</f>
        <v>104</v>
      </c>
      <c r="K46" s="369">
        <f ca="1">'Phase I - CF MF Market Rental'!$G$17</f>
        <v>104</v>
      </c>
      <c r="L46" s="369">
        <f ca="1">'Phase I - CF MF Market Rental'!$G$17</f>
        <v>104</v>
      </c>
      <c r="M46" s="369">
        <f ca="1">'Phase I - CF MF Market Rental'!$G$17</f>
        <v>104</v>
      </c>
      <c r="N46" s="369">
        <f ca="1">'Phase I - CF MF Market Rental'!$G$17</f>
        <v>104</v>
      </c>
      <c r="O46" s="433"/>
    </row>
    <row r="47" spans="2:16" ht="11.25" customHeight="1">
      <c r="B47" s="321" t="s">
        <v>319</v>
      </c>
      <c r="C47" s="407" t="s">
        <v>318</v>
      </c>
      <c r="D47" s="99" t="s">
        <v>349</v>
      </c>
      <c r="E47" s="100"/>
      <c r="F47" s="178"/>
      <c r="G47" s="178"/>
      <c r="H47" s="178"/>
      <c r="I47" s="369">
        <f ca="1">'Phase I - CF Affordable'!$G$17</f>
        <v>15</v>
      </c>
      <c r="J47" s="369">
        <f ca="1">'Phase I - CF Affordable'!$G$17</f>
        <v>15</v>
      </c>
      <c r="K47" s="369">
        <f ca="1">'Phase I - CF Affordable'!$G$17</f>
        <v>15</v>
      </c>
      <c r="L47" s="369">
        <f ca="1">'Phase I - CF Affordable'!$G$17</f>
        <v>15</v>
      </c>
      <c r="M47" s="369">
        <f ca="1">'Phase I - CF Affordable'!$G$17</f>
        <v>15</v>
      </c>
      <c r="N47" s="369">
        <f ca="1">'Phase I - CF Affordable'!$G$17</f>
        <v>15</v>
      </c>
      <c r="O47" s="369"/>
      <c r="P47" s="425"/>
    </row>
    <row r="48" spans="2:16" ht="11.25" customHeight="1">
      <c r="B48" s="445" t="s">
        <v>377</v>
      </c>
      <c r="C48" s="445"/>
      <c r="D48" s="99" t="s">
        <v>349</v>
      </c>
      <c r="E48" s="100"/>
      <c r="F48" s="178"/>
      <c r="G48" s="178"/>
      <c r="H48" s="178"/>
      <c r="I48" s="369">
        <f ca="1">'Phase I - CF Retail'!$G$19</f>
        <v>16.387</v>
      </c>
      <c r="J48" s="369">
        <f ca="1">'Phase I - CF Retail'!$G$19</f>
        <v>16.387</v>
      </c>
      <c r="K48" s="369">
        <f ca="1">'Phase I - CF Retail'!$G$19</f>
        <v>16.387</v>
      </c>
      <c r="L48" s="369">
        <f ca="1">'Phase I - CF Retail'!$G$19</f>
        <v>16.387</v>
      </c>
      <c r="M48" s="369">
        <f ca="1">'Phase I - CF Retail'!$G$19</f>
        <v>16.387</v>
      </c>
      <c r="N48" s="369">
        <f ca="1">'Phase I - CF Retail'!$G$19</f>
        <v>16.387</v>
      </c>
      <c r="O48" s="178"/>
    </row>
    <row r="49" spans="2:15" ht="11.25" customHeight="1">
      <c r="B49" s="445" t="s">
        <v>322</v>
      </c>
      <c r="C49" s="445"/>
      <c r="D49" s="99" t="s">
        <v>350</v>
      </c>
      <c r="E49" s="100"/>
      <c r="F49" s="178"/>
      <c r="G49" s="178"/>
      <c r="H49" s="178"/>
      <c r="I49" s="369"/>
      <c r="J49" s="369"/>
      <c r="K49" s="369"/>
      <c r="L49" s="369"/>
      <c r="M49" s="369"/>
      <c r="N49" s="369"/>
      <c r="O49" s="178"/>
    </row>
    <row r="50" spans="2:15" ht="11.25" customHeight="1">
      <c r="B50" s="445" t="s">
        <v>323</v>
      </c>
      <c r="C50" s="445"/>
      <c r="D50" s="99" t="s">
        <v>351</v>
      </c>
      <c r="E50" s="100"/>
      <c r="F50" s="178"/>
      <c r="G50" s="178"/>
      <c r="H50" s="178"/>
      <c r="I50" s="369">
        <f ca="1">Assumptions!$T$11</f>
        <v>669.01777777777784</v>
      </c>
      <c r="J50" s="369">
        <f ca="1">Assumptions!$T$11</f>
        <v>669.01777777777784</v>
      </c>
      <c r="K50" s="369">
        <f ca="1">Assumptions!$T$11</f>
        <v>669.01777777777784</v>
      </c>
      <c r="L50" s="369">
        <f ca="1">Assumptions!$T$11</f>
        <v>669.01777777777784</v>
      </c>
      <c r="M50" s="369">
        <f ca="1">Assumptions!$T$11</f>
        <v>669.01777777777784</v>
      </c>
      <c r="N50" s="369">
        <f ca="1">Assumptions!$T$11</f>
        <v>669.01777777777784</v>
      </c>
      <c r="O50" s="178"/>
    </row>
    <row r="51" spans="2:15" ht="11.25" customHeight="1">
      <c r="B51" s="96" t="s">
        <v>352</v>
      </c>
      <c r="C51" s="96"/>
      <c r="D51" s="125"/>
      <c r="E51" s="98"/>
      <c r="F51" s="165"/>
      <c r="G51" s="165"/>
      <c r="H51" s="165"/>
      <c r="I51" s="369"/>
      <c r="J51" s="369"/>
      <c r="K51" s="369"/>
      <c r="L51" s="369"/>
      <c r="M51" s="369"/>
      <c r="N51" s="369"/>
      <c r="O51" s="165"/>
    </row>
    <row r="52" spans="2:15" ht="11.25" customHeight="1">
      <c r="B52" s="321" t="s">
        <v>317</v>
      </c>
      <c r="C52" s="407" t="s">
        <v>318</v>
      </c>
      <c r="D52" s="99" t="s">
        <v>353</v>
      </c>
      <c r="E52" s="100"/>
      <c r="F52" s="178"/>
      <c r="G52" s="178"/>
      <c r="H52" s="178"/>
      <c r="I52" s="369">
        <f ca="1">Assumptions!$P$7</f>
        <v>116102.34999999999</v>
      </c>
      <c r="J52" s="369">
        <f ca="1">Assumptions!$P$7</f>
        <v>116102.34999999999</v>
      </c>
      <c r="K52" s="369">
        <f ca="1">Assumptions!$P$7</f>
        <v>116102.34999999999</v>
      </c>
      <c r="L52" s="369">
        <f ca="1">Assumptions!$P$7</f>
        <v>116102.34999999999</v>
      </c>
      <c r="M52" s="369">
        <f ca="1">Assumptions!$P$7</f>
        <v>116102.34999999999</v>
      </c>
      <c r="N52" s="369">
        <f ca="1">Assumptions!$P$7</f>
        <v>116102.34999999999</v>
      </c>
      <c r="O52" s="178"/>
    </row>
    <row r="53" spans="2:15" ht="11.25" customHeight="1">
      <c r="B53" s="321" t="s">
        <v>319</v>
      </c>
      <c r="C53" s="407" t="s">
        <v>318</v>
      </c>
      <c r="D53" s="99" t="s">
        <v>353</v>
      </c>
      <c r="E53" s="100"/>
      <c r="F53" s="178"/>
      <c r="G53" s="178"/>
      <c r="H53" s="178"/>
      <c r="I53" s="369">
        <f ca="1">Assumptions!$P$8</f>
        <v>20488.649999999998</v>
      </c>
      <c r="J53" s="369">
        <f ca="1">Assumptions!$P$8</f>
        <v>20488.649999999998</v>
      </c>
      <c r="K53" s="369">
        <f ca="1">Assumptions!$P$8</f>
        <v>20488.649999999998</v>
      </c>
      <c r="L53" s="369">
        <f ca="1">Assumptions!$P$8</f>
        <v>20488.649999999998</v>
      </c>
      <c r="M53" s="369">
        <f ca="1">Assumptions!$P$8</f>
        <v>20488.649999999998</v>
      </c>
      <c r="N53" s="369">
        <f ca="1">Assumptions!$P$8</f>
        <v>20488.649999999998</v>
      </c>
      <c r="O53" s="178"/>
    </row>
    <row r="54" spans="2:15" ht="11.25" customHeight="1">
      <c r="B54" s="445" t="s">
        <v>320</v>
      </c>
      <c r="C54" s="445"/>
      <c r="D54" s="99" t="s">
        <v>353</v>
      </c>
      <c r="E54" s="100"/>
      <c r="F54" s="178"/>
      <c r="G54" s="178"/>
      <c r="H54" s="178"/>
      <c r="I54" s="369">
        <f ca="1">Assumptions!$P$6</f>
        <v>132776</v>
      </c>
      <c r="J54" s="369">
        <f ca="1">Assumptions!$P$6</f>
        <v>132776</v>
      </c>
      <c r="K54" s="369">
        <f ca="1">Assumptions!$P$6</f>
        <v>132776</v>
      </c>
      <c r="L54" s="369">
        <f ca="1">Assumptions!$P$6</f>
        <v>132776</v>
      </c>
      <c r="M54" s="369">
        <f ca="1">Assumptions!$P$6</f>
        <v>132776</v>
      </c>
      <c r="N54" s="369">
        <f ca="1">Assumptions!$P$6</f>
        <v>132776</v>
      </c>
      <c r="O54" s="178"/>
    </row>
    <row r="55" spans="2:15" ht="11.25" customHeight="1">
      <c r="B55" s="407"/>
      <c r="C55" s="407" t="s">
        <v>378</v>
      </c>
      <c r="D55" s="99" t="s">
        <v>353</v>
      </c>
      <c r="E55" s="100"/>
      <c r="F55" s="178"/>
      <c r="G55" s="178"/>
      <c r="H55" s="178"/>
      <c r="I55" s="369">
        <f ca="1">Assumptions!$P$10</f>
        <v>121075</v>
      </c>
      <c r="J55" s="369">
        <f ca="1">Assumptions!$P$10</f>
        <v>121075</v>
      </c>
      <c r="K55" s="369">
        <f ca="1">Assumptions!$P$10</f>
        <v>121075</v>
      </c>
      <c r="L55" s="369">
        <f ca="1">Assumptions!$P$10</f>
        <v>121075</v>
      </c>
      <c r="M55" s="369">
        <f ca="1">Assumptions!$P$10</f>
        <v>121075</v>
      </c>
      <c r="N55" s="369">
        <f ca="1">Assumptions!$P$10</f>
        <v>121075</v>
      </c>
      <c r="O55" s="178"/>
    </row>
    <row r="56" spans="2:15" ht="11.25" customHeight="1">
      <c r="B56" s="445" t="s">
        <v>321</v>
      </c>
      <c r="C56" s="445"/>
      <c r="D56" s="99" t="s">
        <v>353</v>
      </c>
      <c r="E56" s="100"/>
      <c r="F56" s="178"/>
      <c r="G56" s="178"/>
      <c r="H56" s="178"/>
      <c r="I56" s="369">
        <f ca="1">Assumptions!$P$9</f>
        <v>81935</v>
      </c>
      <c r="J56" s="369">
        <f ca="1">Assumptions!$P$9</f>
        <v>81935</v>
      </c>
      <c r="K56" s="369">
        <f ca="1">Assumptions!$P$9</f>
        <v>81935</v>
      </c>
      <c r="L56" s="369">
        <f ca="1">Assumptions!$P$9</f>
        <v>81935</v>
      </c>
      <c r="M56" s="369">
        <f ca="1">Assumptions!$P$9</f>
        <v>81935</v>
      </c>
      <c r="N56" s="369">
        <f ca="1">Assumptions!$P$9</f>
        <v>81935</v>
      </c>
      <c r="O56" s="178"/>
    </row>
    <row r="57" spans="2:15" ht="11.25" customHeight="1">
      <c r="B57" s="445" t="s">
        <v>322</v>
      </c>
      <c r="C57" s="445"/>
      <c r="D57" s="99" t="s">
        <v>353</v>
      </c>
      <c r="E57" s="100"/>
      <c r="F57" s="178"/>
      <c r="G57" s="178"/>
      <c r="H57" s="178"/>
      <c r="I57" s="369"/>
      <c r="J57" s="369"/>
      <c r="K57" s="369"/>
      <c r="L57" s="369"/>
      <c r="M57" s="369"/>
      <c r="N57" s="369"/>
      <c r="O57" s="178"/>
    </row>
    <row r="58" spans="2:15" ht="11.25" customHeight="1">
      <c r="B58" s="445" t="s">
        <v>323</v>
      </c>
      <c r="C58" s="445"/>
      <c r="D58" s="99" t="s">
        <v>353</v>
      </c>
      <c r="E58" s="100"/>
      <c r="F58" s="178"/>
      <c r="G58" s="178"/>
      <c r="H58" s="178"/>
      <c r="I58" s="369">
        <f ca="1">Assumptions!$R$11</f>
        <v>150529</v>
      </c>
      <c r="J58" s="369">
        <f ca="1">Assumptions!$R$11</f>
        <v>150529</v>
      </c>
      <c r="K58" s="369">
        <f ca="1">Assumptions!$R$11</f>
        <v>150529</v>
      </c>
      <c r="L58" s="369">
        <f ca="1">Assumptions!$R$11</f>
        <v>150529</v>
      </c>
      <c r="M58" s="369">
        <f ca="1">Assumptions!$R$11</f>
        <v>150529</v>
      </c>
      <c r="N58" s="369">
        <f ca="1">Assumptions!$R$11</f>
        <v>150529</v>
      </c>
      <c r="O58" s="178"/>
    </row>
    <row r="59" spans="2:15" ht="11.25" customHeight="1">
      <c r="B59" s="457" t="s">
        <v>37</v>
      </c>
      <c r="C59" s="457"/>
      <c r="D59" s="93" t="s">
        <v>353</v>
      </c>
      <c r="E59" s="126"/>
      <c r="F59" s="164"/>
      <c r="G59" s="164"/>
      <c r="H59" s="164"/>
      <c r="I59" s="370">
        <f t="shared" ref="I59:J59" ca="1" si="11">SUM(I52:I58)</f>
        <v>622906</v>
      </c>
      <c r="J59" s="370">
        <f t="shared" ca="1" si="11"/>
        <v>622906</v>
      </c>
      <c r="K59" s="370">
        <f t="shared" ref="K59" ca="1" si="12">SUM(K52:K58)</f>
        <v>622906</v>
      </c>
      <c r="L59" s="370">
        <f t="shared" ref="L59" ca="1" si="13">SUM(L52:L58)</f>
        <v>622906</v>
      </c>
      <c r="M59" s="370">
        <f t="shared" ref="M59" ca="1" si="14">SUM(M52:M58)</f>
        <v>622906</v>
      </c>
      <c r="N59" s="370">
        <f t="shared" ref="N59" ca="1" si="15">SUM(N52:N58)</f>
        <v>622906</v>
      </c>
      <c r="O59" s="164"/>
    </row>
    <row r="60" spans="2:15" ht="11.25" customHeight="1"/>
    <row r="61" spans="2:15" s="91" customFormat="1" ht="11.25" customHeight="1">
      <c r="B61" s="458" t="s">
        <v>354</v>
      </c>
      <c r="C61" s="458"/>
      <c r="D61" s="448"/>
      <c r="E61" s="448"/>
      <c r="F61" s="448"/>
      <c r="G61" s="448"/>
      <c r="I61" s="447" t="s">
        <v>355</v>
      </c>
      <c r="J61" s="449"/>
      <c r="K61" s="449"/>
      <c r="L61" s="449"/>
      <c r="M61" s="449"/>
      <c r="N61" s="449"/>
      <c r="O61" s="449"/>
    </row>
    <row r="62" spans="2:15" s="127" customFormat="1" ht="11.25" customHeight="1">
      <c r="B62" s="461" t="s">
        <v>327</v>
      </c>
      <c r="C62" s="461"/>
      <c r="D62" s="452" t="s">
        <v>356</v>
      </c>
      <c r="E62" s="453"/>
      <c r="F62" s="452" t="s">
        <v>357</v>
      </c>
      <c r="G62" s="453"/>
      <c r="I62" s="454"/>
      <c r="J62" s="455"/>
      <c r="K62" s="455"/>
      <c r="L62" s="452" t="s">
        <v>358</v>
      </c>
      <c r="M62" s="452"/>
      <c r="N62" s="452" t="s">
        <v>359</v>
      </c>
      <c r="O62" s="453"/>
    </row>
    <row r="63" spans="2:15" ht="11.25" customHeight="1">
      <c r="B63" s="322" t="s">
        <v>317</v>
      </c>
      <c r="C63" s="168" t="str">
        <f>C17</f>
        <v>Rental Housing</v>
      </c>
      <c r="D63" s="353">
        <f ca="1">F63/N46</f>
        <v>272167.52013938501</v>
      </c>
      <c r="E63" s="313" t="s">
        <v>360</v>
      </c>
      <c r="F63" s="460">
        <f t="shared" ref="F63:F69" ca="1" si="16">-(SUM(E17:N17))</f>
        <v>28305422.094496042</v>
      </c>
      <c r="G63" s="460"/>
      <c r="I63" s="169" t="s">
        <v>361</v>
      </c>
      <c r="J63" s="313"/>
      <c r="K63" s="313" t="s">
        <v>314</v>
      </c>
      <c r="L63" s="462">
        <f ca="1">'Phase I - CF MF Market Rental'!R28+'Phase I - CF Commercial'!R23+'Phase I - CF Civic'!R23+'Phase I - CF Retail'!R23+'Phase I - CF Affordable'!R28</f>
        <v>42187582.236050107</v>
      </c>
      <c r="M63" s="462"/>
      <c r="N63" s="465">
        <f ca="1">L63/$L$79</f>
        <v>0.34542216854096508</v>
      </c>
      <c r="O63" s="465"/>
    </row>
    <row r="64" spans="2:15" ht="11.25" customHeight="1">
      <c r="B64" s="321" t="s">
        <v>319</v>
      </c>
      <c r="C64" s="407" t="s">
        <v>318</v>
      </c>
      <c r="D64" s="353">
        <f ca="1">F64/N47</f>
        <v>333004.96581760049</v>
      </c>
      <c r="E64" s="312" t="s">
        <v>360</v>
      </c>
      <c r="F64" s="459">
        <f t="shared" ca="1" si="16"/>
        <v>4995074.4872640073</v>
      </c>
      <c r="G64" s="459"/>
      <c r="I64" s="316"/>
      <c r="J64" s="312"/>
      <c r="K64" s="320" t="s">
        <v>393</v>
      </c>
      <c r="L64" s="463"/>
      <c r="M64" s="463"/>
      <c r="N64" s="466">
        <f ca="1">L64/$L$79</f>
        <v>0</v>
      </c>
      <c r="O64" s="466"/>
    </row>
    <row r="65" spans="2:15" ht="11.25" customHeight="1">
      <c r="C65" s="407" t="s">
        <v>320</v>
      </c>
      <c r="D65" s="353">
        <f ca="1">F65/N54</f>
        <v>230.69077975695998</v>
      </c>
      <c r="E65" s="312" t="s">
        <v>362</v>
      </c>
      <c r="F65" s="459">
        <f t="shared" ca="1" si="16"/>
        <v>30630198.973010119</v>
      </c>
      <c r="G65" s="459"/>
      <c r="I65" s="316"/>
      <c r="J65" s="312"/>
      <c r="K65" s="391" t="s">
        <v>37</v>
      </c>
      <c r="L65" s="464">
        <f ca="1">SUM(L63:M64)</f>
        <v>42187582.236050107</v>
      </c>
      <c r="M65" s="464"/>
      <c r="N65" s="467">
        <f ca="1">L65/$L$79</f>
        <v>0.34542216854096508</v>
      </c>
      <c r="O65" s="467"/>
    </row>
    <row r="66" spans="2:15" ht="11.25" customHeight="1">
      <c r="B66" s="407"/>
      <c r="C66" s="407" t="s">
        <v>378</v>
      </c>
      <c r="D66" s="353">
        <f ca="1">F66/N55</f>
        <v>209.9295314977231</v>
      </c>
      <c r="E66" s="312" t="s">
        <v>362</v>
      </c>
      <c r="F66" s="459">
        <f t="shared" ca="1" si="16"/>
        <v>25417218.026086826</v>
      </c>
      <c r="G66" s="459"/>
      <c r="I66" s="318"/>
      <c r="J66" s="319"/>
      <c r="K66" s="319"/>
      <c r="L66" s="341"/>
      <c r="M66" s="341"/>
      <c r="N66" s="359"/>
      <c r="O66" s="319"/>
    </row>
    <row r="67" spans="2:15" ht="11.25" customHeight="1">
      <c r="C67" s="407" t="s">
        <v>328</v>
      </c>
      <c r="D67" s="353">
        <f ca="1">F67/N56</f>
        <v>235.07634104520005</v>
      </c>
      <c r="E67" s="312" t="s">
        <v>362</v>
      </c>
      <c r="F67" s="459">
        <f t="shared" ca="1" si="16"/>
        <v>19260980.003538467</v>
      </c>
      <c r="G67" s="459"/>
      <c r="I67" s="340"/>
      <c r="J67" s="341"/>
      <c r="K67" s="341"/>
      <c r="L67" s="315"/>
      <c r="M67" s="315"/>
      <c r="N67" s="362"/>
      <c r="O67" s="315"/>
    </row>
    <row r="68" spans="2:15" ht="11.25" customHeight="1">
      <c r="C68" s="407" t="s">
        <v>322</v>
      </c>
      <c r="D68" s="353">
        <v>0</v>
      </c>
      <c r="E68" s="312" t="s">
        <v>364</v>
      </c>
      <c r="F68" s="459">
        <v>0</v>
      </c>
      <c r="G68" s="459"/>
      <c r="I68" s="317" t="s">
        <v>363</v>
      </c>
      <c r="J68" s="313"/>
      <c r="K68" s="313" t="s">
        <v>314</v>
      </c>
      <c r="L68" s="462">
        <f ca="1">'Phase I - CF MF Market Rental'!R29+'Phase I - CF Commercial'!R22+'Phase I - CF Civic'!R22+'Phase I - CF Retail'!R22+'Phase I - CF Affordable'!R30</f>
        <v>79155730.645702481</v>
      </c>
      <c r="M68" s="462"/>
      <c r="N68" s="465">
        <f ca="1">L68/$L$79</f>
        <v>0.64810881977300616</v>
      </c>
      <c r="O68" s="465"/>
    </row>
    <row r="69" spans="2:15" ht="11.25" customHeight="1">
      <c r="C69" s="407" t="s">
        <v>323</v>
      </c>
      <c r="D69" s="353">
        <f ca="1">F69/N50</f>
        <v>11999.999999999996</v>
      </c>
      <c r="E69" s="312" t="s">
        <v>439</v>
      </c>
      <c r="F69" s="459">
        <f t="shared" ca="1" si="16"/>
        <v>8028213.3333333321</v>
      </c>
      <c r="G69" s="459"/>
      <c r="I69" s="312"/>
      <c r="J69" s="312"/>
      <c r="K69" s="312" t="s">
        <v>393</v>
      </c>
      <c r="L69" s="463"/>
      <c r="M69" s="463"/>
      <c r="N69" s="466">
        <f ca="1">L69/$L$79</f>
        <v>0</v>
      </c>
      <c r="O69" s="466"/>
    </row>
    <row r="70" spans="2:15" ht="11.25" customHeight="1">
      <c r="G70" s="312"/>
      <c r="I70" s="312"/>
      <c r="J70" s="312"/>
      <c r="K70" s="391" t="s">
        <v>37</v>
      </c>
      <c r="L70" s="464">
        <f ca="1">SUM(L68:M69)</f>
        <v>79155730.645702481</v>
      </c>
      <c r="M70" s="464"/>
      <c r="N70" s="467">
        <f ca="1">L70/L79</f>
        <v>0.64810881977300616</v>
      </c>
      <c r="O70" s="467"/>
    </row>
    <row r="71" spans="2:15" ht="11.25" customHeight="1">
      <c r="B71" s="170" t="s">
        <v>365</v>
      </c>
      <c r="C71" s="170"/>
      <c r="D71" s="456" t="s">
        <v>366</v>
      </c>
      <c r="E71" s="456"/>
      <c r="F71" s="456" t="s">
        <v>367</v>
      </c>
      <c r="G71" s="456"/>
      <c r="I71" s="312"/>
      <c r="J71" s="312"/>
      <c r="K71" s="312"/>
      <c r="L71" s="314"/>
      <c r="M71" s="314"/>
      <c r="N71" s="360"/>
      <c r="O71" s="312"/>
    </row>
    <row r="72" spans="2:15" ht="11.25" customHeight="1">
      <c r="B72" s="178"/>
      <c r="C72" s="407" t="s">
        <v>368</v>
      </c>
      <c r="D72" s="450">
        <v>0</v>
      </c>
      <c r="E72" s="450"/>
      <c r="F72" s="450">
        <v>0</v>
      </c>
      <c r="G72" s="450"/>
      <c r="I72" s="312"/>
      <c r="J72" s="312"/>
      <c r="K72" s="312"/>
      <c r="L72" s="311"/>
      <c r="M72" s="311"/>
      <c r="N72" s="358"/>
      <c r="O72" s="320"/>
    </row>
    <row r="73" spans="2:15" ht="11.25" customHeight="1">
      <c r="B73" s="178"/>
      <c r="C73" s="407" t="s">
        <v>119</v>
      </c>
      <c r="D73" s="451">
        <v>0</v>
      </c>
      <c r="E73" s="451"/>
      <c r="F73" s="451">
        <v>0</v>
      </c>
      <c r="G73" s="451"/>
      <c r="I73" s="317" t="s">
        <v>369</v>
      </c>
      <c r="J73" s="313"/>
      <c r="K73" s="313" t="s">
        <v>314</v>
      </c>
      <c r="L73" s="462">
        <f ca="1">'Phase I - CF Affordable'!R29</f>
        <v>790082.36108025361</v>
      </c>
      <c r="M73" s="462"/>
      <c r="O73" s="361"/>
    </row>
    <row r="74" spans="2:15" ht="11.25" customHeight="1">
      <c r="B74" s="178"/>
      <c r="C74" s="407" t="s">
        <v>370</v>
      </c>
      <c r="D74" s="451">
        <v>0</v>
      </c>
      <c r="E74" s="451"/>
      <c r="F74" s="451">
        <v>0</v>
      </c>
      <c r="G74" s="451"/>
      <c r="I74" s="312"/>
      <c r="J74" s="312"/>
      <c r="K74" s="312" t="s">
        <v>393</v>
      </c>
      <c r="L74" s="463"/>
      <c r="M74" s="463"/>
      <c r="N74" s="466">
        <f ca="1">L74/$L$79</f>
        <v>0</v>
      </c>
      <c r="O74" s="466"/>
    </row>
    <row r="75" spans="2:15" ht="11.25" customHeight="1">
      <c r="B75" s="178"/>
      <c r="C75" s="407" t="s">
        <v>371</v>
      </c>
      <c r="D75" s="451">
        <v>0</v>
      </c>
      <c r="E75" s="451"/>
      <c r="F75" s="451">
        <v>0</v>
      </c>
      <c r="G75" s="451"/>
      <c r="I75" s="312"/>
      <c r="J75" s="312"/>
      <c r="K75" s="391" t="s">
        <v>37</v>
      </c>
      <c r="L75" s="464">
        <f ca="1">SUM(L73:M74)</f>
        <v>790082.36108025361</v>
      </c>
      <c r="M75" s="464">
        <f ca="1">'Phase II - CF Affordable Rent'!R29</f>
        <v>5908341.3455360653</v>
      </c>
      <c r="N75" s="467">
        <f ca="1">M75/$L$79</f>
        <v>4.837613278324697E-2</v>
      </c>
      <c r="O75" s="467"/>
    </row>
    <row r="76" spans="2:15" ht="11.25" customHeight="1">
      <c r="B76" s="164"/>
      <c r="C76" s="167" t="s">
        <v>329</v>
      </c>
      <c r="D76" s="451">
        <v>0</v>
      </c>
      <c r="E76" s="451"/>
      <c r="F76" s="459">
        <f ca="1">Parcels!G49</f>
        <v>1250000</v>
      </c>
      <c r="G76" s="459"/>
      <c r="I76" s="312"/>
      <c r="J76" s="312"/>
      <c r="K76" s="312"/>
      <c r="L76" s="356"/>
      <c r="M76" s="356"/>
      <c r="N76" s="314"/>
      <c r="O76" s="312"/>
    </row>
    <row r="77" spans="2:15" ht="11.25" customHeight="1">
      <c r="B77" s="118"/>
      <c r="C77" s="115" t="s">
        <v>372</v>
      </c>
      <c r="D77" s="470">
        <v>0</v>
      </c>
      <c r="E77" s="470"/>
      <c r="F77" s="471">
        <f ca="1">-(SUM(E26:N26))</f>
        <v>1209241.5370577509</v>
      </c>
      <c r="G77" s="471"/>
      <c r="I77" s="312"/>
      <c r="J77" s="312"/>
      <c r="K77" s="312"/>
      <c r="L77" s="408"/>
      <c r="M77" s="408"/>
      <c r="N77" s="312"/>
      <c r="O77" s="312"/>
    </row>
    <row r="78" spans="2:15" ht="11.25" customHeight="1">
      <c r="B78" s="118"/>
      <c r="C78" s="115" t="s">
        <v>373</v>
      </c>
      <c r="D78" s="472">
        <v>0</v>
      </c>
      <c r="E78" s="472"/>
      <c r="F78" s="473">
        <f ca="1">Assumptions!F51</f>
        <v>3037046.7880462934</v>
      </c>
      <c r="G78" s="473"/>
      <c r="I78" s="312"/>
      <c r="J78" s="312"/>
      <c r="K78" s="312"/>
      <c r="L78" s="408"/>
      <c r="M78" s="408"/>
      <c r="N78" s="312"/>
      <c r="O78" s="312"/>
    </row>
    <row r="79" spans="2:15" ht="11.25" customHeight="1">
      <c r="B79" s="118"/>
      <c r="C79" s="115" t="s">
        <v>332</v>
      </c>
      <c r="D79" s="474">
        <f>SUM(D72:E78)</f>
        <v>0</v>
      </c>
      <c r="E79" s="474"/>
      <c r="F79" s="475">
        <f ca="1">SUM(F63:F69)+F76+F77+F78</f>
        <v>122133395.24283285</v>
      </c>
      <c r="G79" s="475"/>
      <c r="I79" s="468" t="s">
        <v>37</v>
      </c>
      <c r="J79" s="469"/>
      <c r="K79" s="469"/>
      <c r="L79" s="464">
        <f ca="1">L65+L70+L75</f>
        <v>122133395.24283284</v>
      </c>
      <c r="M79" s="464"/>
      <c r="N79" s="467">
        <f ca="1">N65+N70+N75</f>
        <v>1.0419071210972182</v>
      </c>
      <c r="O79" s="467"/>
    </row>
    <row r="80" spans="2:15" ht="14" customHeight="1">
      <c r="F80" s="363"/>
      <c r="G80" s="350">
        <f ca="1">F79</f>
        <v>122133395.24283285</v>
      </c>
    </row>
    <row r="81" spans="6:13" ht="14" customHeight="1">
      <c r="F81" s="363"/>
      <c r="M81" s="350">
        <f ca="1">L65</f>
        <v>42187582.236050107</v>
      </c>
    </row>
    <row r="82" spans="6:13" ht="14" customHeight="1">
      <c r="F82" s="441" t="s">
        <v>469</v>
      </c>
      <c r="G82" s="350">
        <f ca="1">SUM(F63:G69)</f>
        <v>116637106.9177288</v>
      </c>
      <c r="M82" s="350">
        <f ca="1">L75</f>
        <v>790082.36108025361</v>
      </c>
    </row>
    <row r="83" spans="6:13" ht="14" customHeight="1">
      <c r="F83" s="441" t="s">
        <v>187</v>
      </c>
      <c r="G83" s="350">
        <f ca="1">F78</f>
        <v>3037046.7880462934</v>
      </c>
      <c r="M83" s="350">
        <f ca="1">L70</f>
        <v>79155730.645702481</v>
      </c>
    </row>
    <row r="84" spans="6:13" ht="14" customHeight="1">
      <c r="F84" s="441" t="s">
        <v>470</v>
      </c>
      <c r="G84" s="350">
        <f ca="1">F76</f>
        <v>1250000</v>
      </c>
    </row>
    <row r="85" spans="6:13" ht="14" customHeight="1">
      <c r="F85" s="441" t="s">
        <v>471</v>
      </c>
      <c r="G85" s="350">
        <f ca="1">F77</f>
        <v>1209241.5370577509</v>
      </c>
    </row>
  </sheetData>
  <mergeCells count="75">
    <mergeCell ref="B19:C19"/>
    <mergeCell ref="B8:C8"/>
    <mergeCell ref="B10:C10"/>
    <mergeCell ref="B11:C11"/>
    <mergeCell ref="B12:C12"/>
    <mergeCell ref="B13:C13"/>
    <mergeCell ref="B54:C54"/>
    <mergeCell ref="B21:C21"/>
    <mergeCell ref="B22:C22"/>
    <mergeCell ref="B23:C23"/>
    <mergeCell ref="B25:C25"/>
    <mergeCell ref="B27:C27"/>
    <mergeCell ref="B30:C30"/>
    <mergeCell ref="B33:C33"/>
    <mergeCell ref="B42:O42"/>
    <mergeCell ref="B48:C48"/>
    <mergeCell ref="B49:C49"/>
    <mergeCell ref="B50:C50"/>
    <mergeCell ref="N62:O62"/>
    <mergeCell ref="B56:C56"/>
    <mergeCell ref="B57:C57"/>
    <mergeCell ref="B58:C58"/>
    <mergeCell ref="B59:C59"/>
    <mergeCell ref="B61:G61"/>
    <mergeCell ref="I61:O61"/>
    <mergeCell ref="B62:C62"/>
    <mergeCell ref="D62:E62"/>
    <mergeCell ref="F62:G62"/>
    <mergeCell ref="I62:K62"/>
    <mergeCell ref="L62:M62"/>
    <mergeCell ref="F68:G68"/>
    <mergeCell ref="L68:M68"/>
    <mergeCell ref="N68:O68"/>
    <mergeCell ref="F63:G63"/>
    <mergeCell ref="L63:M63"/>
    <mergeCell ref="N63:O63"/>
    <mergeCell ref="F64:G64"/>
    <mergeCell ref="L64:M64"/>
    <mergeCell ref="N64:O64"/>
    <mergeCell ref="F65:G65"/>
    <mergeCell ref="L65:M65"/>
    <mergeCell ref="N65:O65"/>
    <mergeCell ref="F66:G66"/>
    <mergeCell ref="F67:G67"/>
    <mergeCell ref="N69:O69"/>
    <mergeCell ref="L70:M70"/>
    <mergeCell ref="N70:O70"/>
    <mergeCell ref="D71:E71"/>
    <mergeCell ref="F71:G71"/>
    <mergeCell ref="L73:M73"/>
    <mergeCell ref="D74:E74"/>
    <mergeCell ref="F74:G74"/>
    <mergeCell ref="L74:M74"/>
    <mergeCell ref="F69:G69"/>
    <mergeCell ref="L69:M69"/>
    <mergeCell ref="D76:E76"/>
    <mergeCell ref="F76:G76"/>
    <mergeCell ref="D72:E72"/>
    <mergeCell ref="F72:G72"/>
    <mergeCell ref="D73:E73"/>
    <mergeCell ref="F73:G73"/>
    <mergeCell ref="N74:O74"/>
    <mergeCell ref="D75:E75"/>
    <mergeCell ref="F75:G75"/>
    <mergeCell ref="L75:M75"/>
    <mergeCell ref="N75:O75"/>
    <mergeCell ref="I79:K79"/>
    <mergeCell ref="L79:M79"/>
    <mergeCell ref="N79:O79"/>
    <mergeCell ref="D77:E77"/>
    <mergeCell ref="F77:G77"/>
    <mergeCell ref="D78:E78"/>
    <mergeCell ref="F78:G78"/>
    <mergeCell ref="D79:E79"/>
    <mergeCell ref="F79:G79"/>
  </mergeCells>
  <pageMargins left="0.25" right="0.25" top="0.75" bottom="0.75" header="0.3" footer="0.3"/>
  <pageSetup paperSize="3" scale="87" orientation="landscape" r:id="rId1"/>
  <headerFooter alignWithMargins="0">
    <oddHeader>&amp;L&amp;"Arial,Bold"2021 ULI Hines Student Competition&amp;R2021-2414 Development Summary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995CC-95BE-49AD-B999-9F7D27F6865B}">
  <sheetPr>
    <tabColor theme="3"/>
  </sheetPr>
  <dimension ref="A3:T93"/>
  <sheetViews>
    <sheetView showGridLines="0" view="pageBreakPreview" zoomScale="70" zoomScaleNormal="100" zoomScaleSheetLayoutView="70" workbookViewId="0"/>
  </sheetViews>
  <sheetFormatPr baseColWidth="10" defaultColWidth="12.5" defaultRowHeight="15"/>
  <cols>
    <col min="1" max="1" width="3.6640625" style="185" customWidth="1"/>
    <col min="2" max="2" width="1.83203125" style="185" customWidth="1"/>
    <col min="3" max="3" width="3.83203125" style="185" customWidth="1"/>
    <col min="4" max="4" width="6.5" style="185" bestFit="1" customWidth="1"/>
    <col min="5" max="5" width="12.5" style="185"/>
    <col min="6" max="6" width="16.6640625" style="185" bestFit="1" customWidth="1"/>
    <col min="7" max="7" width="17.5" style="185" bestFit="1" customWidth="1"/>
    <col min="8" max="16" width="14.6640625" style="185" bestFit="1" customWidth="1"/>
    <col min="17" max="17" width="15.5" style="185" bestFit="1" customWidth="1"/>
    <col min="18" max="18" width="15.6640625" style="185" bestFit="1" customWidth="1"/>
    <col min="19" max="19" width="15.33203125" style="184" bestFit="1" customWidth="1"/>
    <col min="20" max="20" width="12.6640625" style="184" bestFit="1" customWidth="1"/>
    <col min="21" max="16384" width="12.5" style="184"/>
  </cols>
  <sheetData>
    <row r="3" spans="2:18">
      <c r="D3" s="181" t="s">
        <v>41</v>
      </c>
      <c r="E3" s="181"/>
      <c r="F3" s="182" t="s">
        <v>425</v>
      </c>
      <c r="G3" s="182" t="s">
        <v>310</v>
      </c>
    </row>
    <row r="4" spans="2:18">
      <c r="D4" s="185" t="s">
        <v>186</v>
      </c>
      <c r="F4" s="186"/>
      <c r="G4" s="186">
        <f ca="1">Assumptions!U7</f>
        <v>307229.05116040783</v>
      </c>
    </row>
    <row r="5" spans="2:18">
      <c r="D5" s="185" t="s">
        <v>422</v>
      </c>
      <c r="F5" s="186">
        <f>Assumptions!E59</f>
        <v>211.99752216000005</v>
      </c>
      <c r="G5" s="186">
        <f ca="1">F5*$G$18</f>
        <v>24613410.516953081</v>
      </c>
    </row>
    <row r="6" spans="2:18">
      <c r="D6" s="185" t="s">
        <v>423</v>
      </c>
      <c r="F6" s="186">
        <f>Assumptions!G59</f>
        <v>31.799628324000004</v>
      </c>
      <c r="G6" s="186">
        <f ca="1">F6*$G$18</f>
        <v>3692011.5775429616</v>
      </c>
    </row>
    <row r="7" spans="2:18">
      <c r="D7" s="185" t="s">
        <v>187</v>
      </c>
      <c r="F7" s="186"/>
      <c r="G7" s="186">
        <f ca="1">Assumptions!V7</f>
        <v>746455.20241698157</v>
      </c>
    </row>
    <row r="8" spans="2:18">
      <c r="D8" s="185" t="s">
        <v>424</v>
      </c>
      <c r="F8" s="186">
        <f>Assumptions!E71</f>
        <v>12000</v>
      </c>
      <c r="G8" s="186">
        <f ca="1">F8*G25</f>
        <v>994684.44444444438</v>
      </c>
    </row>
    <row r="9" spans="2:18">
      <c r="F9" s="188"/>
      <c r="G9" s="186"/>
    </row>
    <row r="10" spans="2:18">
      <c r="F10" s="187"/>
      <c r="G10" s="187"/>
    </row>
    <row r="11" spans="2:18">
      <c r="F11" s="187"/>
      <c r="G11" s="187"/>
    </row>
    <row r="12" spans="2:18">
      <c r="D12" s="304" t="s">
        <v>426</v>
      </c>
      <c r="E12" s="304"/>
      <c r="F12" s="305">
        <f ca="1">G12/G17</f>
        <v>291863.37300497957</v>
      </c>
      <c r="G12" s="305">
        <f ca="1">G4+G5+G6+G7+G8+G9</f>
        <v>30353790.792517874</v>
      </c>
    </row>
    <row r="13" spans="2:18">
      <c r="B13" s="190"/>
    </row>
    <row r="14" spans="2:18">
      <c r="B14" s="191" t="s">
        <v>0</v>
      </c>
    </row>
    <row r="16" spans="2:18">
      <c r="B16" s="216" t="s">
        <v>2</v>
      </c>
      <c r="C16" s="216"/>
      <c r="D16" s="216"/>
      <c r="E16" s="216"/>
      <c r="F16" s="216"/>
      <c r="G16" s="216"/>
      <c r="I16" s="216" t="s">
        <v>3</v>
      </c>
      <c r="J16" s="216"/>
      <c r="K16" s="216"/>
      <c r="L16" s="216"/>
      <c r="M16" s="216"/>
      <c r="O16" s="216" t="s">
        <v>4</v>
      </c>
      <c r="P16" s="216"/>
      <c r="Q16" s="216"/>
      <c r="R16" s="216"/>
    </row>
    <row r="17" spans="2:18">
      <c r="B17" s="185" t="s">
        <v>5</v>
      </c>
      <c r="G17" s="217">
        <f ca="1">ROUNDDOWN(G20/G21,0)</f>
        <v>104</v>
      </c>
      <c r="I17" s="218" t="s">
        <v>6</v>
      </c>
      <c r="O17" s="185" t="s">
        <v>7</v>
      </c>
      <c r="R17" s="219">
        <f ca="1">MAX(G32:G34)</f>
        <v>19729964.015136618</v>
      </c>
    </row>
    <row r="18" spans="2:18">
      <c r="B18" s="185" t="s">
        <v>8</v>
      </c>
      <c r="F18" s="220"/>
      <c r="G18" s="392">
        <f ca="1">Assumptions!P7</f>
        <v>116102.34999999999</v>
      </c>
      <c r="I18" s="185" t="s">
        <v>9</v>
      </c>
      <c r="M18" s="221">
        <v>1600</v>
      </c>
      <c r="O18" s="185" t="s">
        <v>10</v>
      </c>
      <c r="R18" s="222">
        <v>4.4999999999999998E-2</v>
      </c>
    </row>
    <row r="19" spans="2:18">
      <c r="B19" s="185" t="s">
        <v>11</v>
      </c>
      <c r="G19" s="223">
        <v>0.9</v>
      </c>
      <c r="I19" s="185" t="s">
        <v>12</v>
      </c>
      <c r="M19" s="221">
        <v>1925</v>
      </c>
      <c r="O19" s="185" t="s">
        <v>13</v>
      </c>
      <c r="R19" s="224">
        <v>30</v>
      </c>
    </row>
    <row r="20" spans="2:18">
      <c r="B20" s="185" t="s">
        <v>14</v>
      </c>
      <c r="G20" s="225">
        <f ca="1">G18*G19</f>
        <v>104492.11499999999</v>
      </c>
      <c r="I20" s="185" t="s">
        <v>15</v>
      </c>
      <c r="M20" s="221">
        <v>2425</v>
      </c>
      <c r="O20" s="185" t="s">
        <v>16</v>
      </c>
      <c r="R20" s="219">
        <f ca="1">PMT(R18/12,R19*12,R17)</f>
        <v>-99968.829298629746</v>
      </c>
    </row>
    <row r="21" spans="2:18">
      <c r="B21" s="185" t="s">
        <v>17</v>
      </c>
      <c r="G21" s="226">
        <v>1000</v>
      </c>
      <c r="I21" s="185" t="s">
        <v>18</v>
      </c>
      <c r="M21" s="220">
        <v>0.05</v>
      </c>
    </row>
    <row r="22" spans="2:18">
      <c r="B22" s="185" t="s">
        <v>19</v>
      </c>
      <c r="E22" s="227"/>
      <c r="F22" s="227"/>
      <c r="G22" s="220">
        <v>0.2</v>
      </c>
      <c r="I22" s="185" t="s">
        <v>20</v>
      </c>
      <c r="M22" s="220">
        <v>0.03</v>
      </c>
      <c r="O22" s="185" t="s">
        <v>21</v>
      </c>
      <c r="R22" s="220">
        <v>0.65</v>
      </c>
    </row>
    <row r="23" spans="2:18">
      <c r="B23" s="185" t="s">
        <v>22</v>
      </c>
      <c r="G23" s="220">
        <v>0.5</v>
      </c>
      <c r="I23" s="185" t="s">
        <v>23</v>
      </c>
      <c r="M23" s="228">
        <v>6</v>
      </c>
      <c r="O23" s="185" t="s">
        <v>24</v>
      </c>
      <c r="R23" s="229">
        <v>1.2</v>
      </c>
    </row>
    <row r="24" spans="2:18">
      <c r="B24" s="185" t="s">
        <v>25</v>
      </c>
      <c r="G24" s="220">
        <v>0.3</v>
      </c>
      <c r="I24" s="185" t="s">
        <v>26</v>
      </c>
      <c r="M24" s="230">
        <f ca="1">G17/M23</f>
        <v>17.333333333333332</v>
      </c>
      <c r="N24" s="231">
        <f ca="1">G17/M23</f>
        <v>17.333333333333332</v>
      </c>
      <c r="O24" s="185" t="s">
        <v>27</v>
      </c>
      <c r="R24" s="220">
        <v>7.4999999999999997E-2</v>
      </c>
    </row>
    <row r="25" spans="2:18">
      <c r="B25" s="185" t="s">
        <v>28</v>
      </c>
      <c r="G25" s="232">
        <f ca="1">Assumptions!T7</f>
        <v>82.890370370370363</v>
      </c>
      <c r="I25" s="185" t="s">
        <v>29</v>
      </c>
      <c r="M25" s="233">
        <v>0.25</v>
      </c>
      <c r="R25" s="220"/>
    </row>
    <row r="26" spans="2:18">
      <c r="G26" s="234"/>
      <c r="I26" s="185" t="s">
        <v>30</v>
      </c>
      <c r="M26" s="220">
        <v>0.02</v>
      </c>
      <c r="R26" s="221"/>
    </row>
    <row r="27" spans="2:18">
      <c r="G27" s="235"/>
      <c r="I27" s="185" t="s">
        <v>31</v>
      </c>
      <c r="L27" s="276">
        <v>0.32</v>
      </c>
      <c r="M27" s="393">
        <f>1.7529/100</f>
        <v>1.7528999999999999E-2</v>
      </c>
      <c r="O27" s="216" t="s">
        <v>32</v>
      </c>
      <c r="P27" s="216"/>
      <c r="Q27" s="216"/>
      <c r="R27" s="216"/>
    </row>
    <row r="28" spans="2:18">
      <c r="I28" s="185" t="s">
        <v>33</v>
      </c>
      <c r="M28" s="220">
        <v>0.02</v>
      </c>
      <c r="O28" s="185" t="s">
        <v>34</v>
      </c>
      <c r="Q28" s="236">
        <f ca="1">R28/R30</f>
        <v>0.35643564356435642</v>
      </c>
      <c r="R28" s="219">
        <f ca="1">R30-R29</f>
        <v>10927364.685306434</v>
      </c>
    </row>
    <row r="29" spans="2:18">
      <c r="I29" s="185" t="s">
        <v>35</v>
      </c>
      <c r="K29" s="237"/>
      <c r="M29" s="221">
        <v>1000</v>
      </c>
      <c r="O29" s="238" t="s">
        <v>7</v>
      </c>
      <c r="P29" s="238"/>
      <c r="Q29" s="239">
        <f ca="1">R29/R30</f>
        <v>0.64356435643564358</v>
      </c>
      <c r="R29" s="240">
        <f ca="1">R17</f>
        <v>19729964.015136618</v>
      </c>
    </row>
    <row r="30" spans="2:18">
      <c r="G30" s="241"/>
      <c r="I30" s="185" t="s">
        <v>36</v>
      </c>
      <c r="K30" s="237"/>
      <c r="M30" s="220">
        <v>0.05</v>
      </c>
      <c r="O30" s="185" t="s">
        <v>37</v>
      </c>
      <c r="R30" s="219">
        <f ca="1">R35</f>
        <v>30657328.700443052</v>
      </c>
    </row>
    <row r="31" spans="2:18">
      <c r="B31" s="216" t="s">
        <v>38</v>
      </c>
      <c r="C31" s="216"/>
      <c r="D31" s="216"/>
      <c r="E31" s="216"/>
      <c r="F31" s="216"/>
      <c r="G31" s="216"/>
      <c r="I31" s="185" t="s">
        <v>39</v>
      </c>
      <c r="K31" s="237"/>
      <c r="M31" s="224">
        <v>9</v>
      </c>
    </row>
    <row r="32" spans="2:18">
      <c r="B32" s="185" t="s">
        <v>21</v>
      </c>
      <c r="G32" s="242">
        <f ca="1">R22*R33</f>
        <v>19729964.015136618</v>
      </c>
      <c r="I32" s="185" t="s">
        <v>40</v>
      </c>
      <c r="K32" s="237"/>
      <c r="M32" s="220">
        <v>7.4999999999999997E-2</v>
      </c>
      <c r="O32" s="216" t="s">
        <v>41</v>
      </c>
      <c r="P32" s="216"/>
      <c r="Q32" s="216"/>
      <c r="R32" s="216"/>
    </row>
    <row r="33" spans="1:18">
      <c r="B33" s="185" t="s">
        <v>24</v>
      </c>
      <c r="G33" s="219">
        <f ca="1">H63/R24</f>
        <v>16768099.425358186</v>
      </c>
      <c r="I33" s="185" t="s">
        <v>42</v>
      </c>
      <c r="M33" s="222">
        <v>5.2499999999999998E-2</v>
      </c>
      <c r="O33" s="185" t="s">
        <v>43</v>
      </c>
      <c r="R33" s="394">
        <f ca="1">G12</f>
        <v>30353790.792517874</v>
      </c>
    </row>
    <row r="34" spans="1:18">
      <c r="B34" s="185" t="s">
        <v>27</v>
      </c>
      <c r="G34" s="219">
        <f ca="1">PV(R18/12,R19*12,-H63/R23/12,0)</f>
        <v>17236310.088356704</v>
      </c>
      <c r="O34" s="309" t="s">
        <v>435</v>
      </c>
      <c r="P34" s="238"/>
      <c r="Q34" s="310">
        <v>0.01</v>
      </c>
      <c r="R34" s="240">
        <f ca="1">R33*Q34</f>
        <v>303537.90792517876</v>
      </c>
    </row>
    <row r="35" spans="1:18">
      <c r="O35" s="185" t="s">
        <v>45</v>
      </c>
      <c r="R35" s="219">
        <f ca="1">SUM(R33:R34)</f>
        <v>30657328.700443052</v>
      </c>
    </row>
    <row r="37" spans="1:18">
      <c r="A37" s="185" t="s">
        <v>1</v>
      </c>
      <c r="B37" s="216" t="s">
        <v>46</v>
      </c>
      <c r="C37" s="216"/>
      <c r="D37" s="216"/>
      <c r="E37" s="216"/>
      <c r="F37" s="243"/>
      <c r="G37" s="243">
        <f>F37+1</f>
        <v>1</v>
      </c>
      <c r="H37" s="243">
        <f>G37+1</f>
        <v>2</v>
      </c>
      <c r="I37" s="243">
        <f t="shared" ref="I37:R37" si="0">H37+1</f>
        <v>3</v>
      </c>
      <c r="J37" s="243">
        <f t="shared" si="0"/>
        <v>4</v>
      </c>
      <c r="K37" s="243">
        <f t="shared" si="0"/>
        <v>5</v>
      </c>
      <c r="L37" s="243">
        <f t="shared" si="0"/>
        <v>6</v>
      </c>
      <c r="M37" s="243">
        <f t="shared" si="0"/>
        <v>7</v>
      </c>
      <c r="N37" s="243">
        <f t="shared" si="0"/>
        <v>8</v>
      </c>
      <c r="O37" s="243">
        <f t="shared" si="0"/>
        <v>9</v>
      </c>
      <c r="P37" s="243">
        <f t="shared" si="0"/>
        <v>10</v>
      </c>
      <c r="Q37" s="243">
        <f t="shared" si="0"/>
        <v>11</v>
      </c>
      <c r="R37" s="243">
        <f t="shared" si="0"/>
        <v>12</v>
      </c>
    </row>
    <row r="38" spans="1:18">
      <c r="B38" s="218" t="s">
        <v>47</v>
      </c>
      <c r="K38" s="225"/>
    </row>
    <row r="39" spans="1:18">
      <c r="B39" s="185" t="s">
        <v>48</v>
      </c>
      <c r="G39" s="219">
        <f ca="1">IF(G37&gt;=$M$23,$M$18*$M$24*$G$22*($L$37),$M$18*$G$22*(G$37*$M$24))</f>
        <v>5546.6666666666661</v>
      </c>
      <c r="H39" s="219">
        <f t="shared" ref="H39:R39" ca="1" si="1">IF(H37&gt;=$M$23,$M$18*$M$24*$G$22*($L$37),$M$18*$G$22*(H$37*$M$24))</f>
        <v>11093.333333333332</v>
      </c>
      <c r="I39" s="219">
        <f t="shared" ca="1" si="1"/>
        <v>16640</v>
      </c>
      <c r="J39" s="219">
        <f t="shared" ca="1" si="1"/>
        <v>22186.666666666664</v>
      </c>
      <c r="K39" s="219">
        <f t="shared" ca="1" si="1"/>
        <v>27733.333333333328</v>
      </c>
      <c r="L39" s="219">
        <f t="shared" ca="1" si="1"/>
        <v>33280</v>
      </c>
      <c r="M39" s="219">
        <f t="shared" ca="1" si="1"/>
        <v>33280</v>
      </c>
      <c r="N39" s="219">
        <f t="shared" ca="1" si="1"/>
        <v>33280</v>
      </c>
      <c r="O39" s="219">
        <f t="shared" ca="1" si="1"/>
        <v>33280</v>
      </c>
      <c r="P39" s="219">
        <f t="shared" ca="1" si="1"/>
        <v>33280</v>
      </c>
      <c r="Q39" s="219">
        <f t="shared" ca="1" si="1"/>
        <v>33280</v>
      </c>
      <c r="R39" s="219">
        <f t="shared" ca="1" si="1"/>
        <v>33280</v>
      </c>
    </row>
    <row r="40" spans="1:18">
      <c r="B40" s="185" t="s">
        <v>49</v>
      </c>
      <c r="G40" s="219">
        <f t="shared" ref="G40:R40" ca="1" si="2">IF(G37&gt;=$M$23,$M$19*$M$24*$G$23*($L$37),$M$19*$G$23*(G$37*$M$24))</f>
        <v>16683.333333333332</v>
      </c>
      <c r="H40" s="219">
        <f t="shared" ca="1" si="2"/>
        <v>33366.666666666664</v>
      </c>
      <c r="I40" s="219">
        <f t="shared" ca="1" si="2"/>
        <v>50050</v>
      </c>
      <c r="J40" s="219">
        <f t="shared" ca="1" si="2"/>
        <v>66733.333333333328</v>
      </c>
      <c r="K40" s="219">
        <f t="shared" ca="1" si="2"/>
        <v>83416.666666666657</v>
      </c>
      <c r="L40" s="219">
        <f t="shared" ca="1" si="2"/>
        <v>100100</v>
      </c>
      <c r="M40" s="219">
        <f t="shared" ca="1" si="2"/>
        <v>100100</v>
      </c>
      <c r="N40" s="219">
        <f t="shared" ca="1" si="2"/>
        <v>100100</v>
      </c>
      <c r="O40" s="219">
        <f t="shared" ca="1" si="2"/>
        <v>100100</v>
      </c>
      <c r="P40" s="219">
        <f t="shared" ca="1" si="2"/>
        <v>100100</v>
      </c>
      <c r="Q40" s="219">
        <f t="shared" ca="1" si="2"/>
        <v>100100</v>
      </c>
      <c r="R40" s="219">
        <f t="shared" ca="1" si="2"/>
        <v>100100</v>
      </c>
    </row>
    <row r="41" spans="1:18">
      <c r="B41" s="185" t="s">
        <v>50</v>
      </c>
      <c r="G41" s="219">
        <f t="shared" ref="G41:R41" ca="1" si="3">IF(G37&gt;=$M$23,$M$20*$M$24*$G$24*($L$37),$M$20*$G$24*(G$37*$M$24))</f>
        <v>12610</v>
      </c>
      <c r="H41" s="219">
        <f t="shared" ca="1" si="3"/>
        <v>25220</v>
      </c>
      <c r="I41" s="219">
        <f t="shared" ca="1" si="3"/>
        <v>37830</v>
      </c>
      <c r="J41" s="219">
        <f t="shared" ca="1" si="3"/>
        <v>50440</v>
      </c>
      <c r="K41" s="219">
        <f t="shared" ca="1" si="3"/>
        <v>63049.999999999993</v>
      </c>
      <c r="L41" s="219">
        <f t="shared" ca="1" si="3"/>
        <v>75659.999999999985</v>
      </c>
      <c r="M41" s="219">
        <f t="shared" ca="1" si="3"/>
        <v>75659.999999999985</v>
      </c>
      <c r="N41" s="219">
        <f t="shared" ca="1" si="3"/>
        <v>75659.999999999985</v>
      </c>
      <c r="O41" s="219">
        <f t="shared" ca="1" si="3"/>
        <v>75659.999999999985</v>
      </c>
      <c r="P41" s="219">
        <f t="shared" ca="1" si="3"/>
        <v>75659.999999999985</v>
      </c>
      <c r="Q41" s="219">
        <f t="shared" ca="1" si="3"/>
        <v>75659.999999999985</v>
      </c>
      <c r="R41" s="219">
        <f t="shared" ca="1" si="3"/>
        <v>75659.999999999985</v>
      </c>
    </row>
    <row r="42" spans="1:18">
      <c r="B42" s="244" t="s">
        <v>37</v>
      </c>
      <c r="C42" s="244"/>
      <c r="D42" s="244"/>
      <c r="E42" s="244"/>
      <c r="F42" s="244"/>
      <c r="G42" s="245">
        <f ca="1">SUM(G39:G41)</f>
        <v>34840</v>
      </c>
      <c r="H42" s="245">
        <f t="shared" ref="H42:R42" ca="1" si="4">SUM(H39:H41)</f>
        <v>69680</v>
      </c>
      <c r="I42" s="245">
        <f t="shared" ca="1" si="4"/>
        <v>104520</v>
      </c>
      <c r="J42" s="245">
        <f t="shared" ca="1" si="4"/>
        <v>139360</v>
      </c>
      <c r="K42" s="245">
        <f t="shared" ca="1" si="4"/>
        <v>174199.99999999997</v>
      </c>
      <c r="L42" s="245">
        <f t="shared" ca="1" si="4"/>
        <v>209040</v>
      </c>
      <c r="M42" s="245">
        <f t="shared" ca="1" si="4"/>
        <v>209040</v>
      </c>
      <c r="N42" s="245">
        <f t="shared" ca="1" si="4"/>
        <v>209040</v>
      </c>
      <c r="O42" s="245">
        <f t="shared" ca="1" si="4"/>
        <v>209040</v>
      </c>
      <c r="P42" s="245">
        <f t="shared" ca="1" si="4"/>
        <v>209040</v>
      </c>
      <c r="Q42" s="245">
        <f t="shared" ca="1" si="4"/>
        <v>209040</v>
      </c>
      <c r="R42" s="245">
        <f t="shared" ca="1" si="4"/>
        <v>209040</v>
      </c>
    </row>
    <row r="44" spans="1:18">
      <c r="A44" s="185" t="s">
        <v>1</v>
      </c>
      <c r="B44" s="216" t="s">
        <v>51</v>
      </c>
      <c r="C44" s="216"/>
      <c r="D44" s="216"/>
      <c r="E44" s="216"/>
      <c r="F44" s="216"/>
      <c r="G44" s="246">
        <v>0</v>
      </c>
      <c r="H44" s="246">
        <f>G44+1</f>
        <v>1</v>
      </c>
      <c r="I44" s="246">
        <f t="shared" ref="I44:R44" si="5">H44+1</f>
        <v>2</v>
      </c>
      <c r="J44" s="246">
        <f t="shared" si="5"/>
        <v>3</v>
      </c>
      <c r="K44" s="246">
        <f t="shared" si="5"/>
        <v>4</v>
      </c>
      <c r="L44" s="246">
        <f t="shared" si="5"/>
        <v>5</v>
      </c>
      <c r="M44" s="246">
        <f t="shared" si="5"/>
        <v>6</v>
      </c>
      <c r="N44" s="246">
        <f t="shared" si="5"/>
        <v>7</v>
      </c>
      <c r="O44" s="246">
        <f t="shared" si="5"/>
        <v>8</v>
      </c>
      <c r="P44" s="246">
        <f t="shared" si="5"/>
        <v>9</v>
      </c>
      <c r="Q44" s="246">
        <f t="shared" si="5"/>
        <v>10</v>
      </c>
      <c r="R44" s="246">
        <f t="shared" si="5"/>
        <v>11</v>
      </c>
    </row>
    <row r="45" spans="1:18">
      <c r="B45" s="247" t="s">
        <v>52</v>
      </c>
      <c r="C45" s="247"/>
      <c r="D45" s="247"/>
      <c r="E45" s="247"/>
      <c r="F45" s="247"/>
      <c r="G45" s="247"/>
      <c r="H45" s="248">
        <f t="shared" ref="H45:R45" si="6">1-$M$21</f>
        <v>0.95</v>
      </c>
      <c r="I45" s="248">
        <f t="shared" si="6"/>
        <v>0.95</v>
      </c>
      <c r="J45" s="248">
        <f t="shared" si="6"/>
        <v>0.95</v>
      </c>
      <c r="K45" s="248">
        <f t="shared" si="6"/>
        <v>0.95</v>
      </c>
      <c r="L45" s="248">
        <f t="shared" si="6"/>
        <v>0.95</v>
      </c>
      <c r="M45" s="248">
        <f t="shared" si="6"/>
        <v>0.95</v>
      </c>
      <c r="N45" s="248">
        <f t="shared" si="6"/>
        <v>0.95</v>
      </c>
      <c r="O45" s="248">
        <f t="shared" si="6"/>
        <v>0.95</v>
      </c>
      <c r="P45" s="248">
        <f t="shared" si="6"/>
        <v>0.95</v>
      </c>
      <c r="Q45" s="248">
        <f t="shared" si="6"/>
        <v>0.95</v>
      </c>
      <c r="R45" s="248">
        <f t="shared" si="6"/>
        <v>0.95</v>
      </c>
    </row>
    <row r="46" spans="1:18"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</row>
    <row r="47" spans="1:18">
      <c r="B47" s="185" t="s">
        <v>43</v>
      </c>
      <c r="G47" s="219">
        <f ca="1">-R35</f>
        <v>-30657328.700443052</v>
      </c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</row>
    <row r="49" spans="2:20">
      <c r="B49" s="247" t="s">
        <v>53</v>
      </c>
      <c r="G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</row>
    <row r="50" spans="2:20">
      <c r="B50" s="185" t="s">
        <v>54</v>
      </c>
      <c r="G50" s="219"/>
      <c r="H50" s="219">
        <f ca="1">SUM(G39:R39)</f>
        <v>316160</v>
      </c>
      <c r="I50" s="219">
        <f t="shared" ref="I50:R50" ca="1" si="7">$G$17*$G$22*$M$18*(1+$M$22)^I44*12</f>
        <v>423681.02399999998</v>
      </c>
      <c r="J50" s="219">
        <f t="shared" ca="1" si="7"/>
        <v>436391.45471999998</v>
      </c>
      <c r="K50" s="219">
        <f t="shared" ca="1" si="7"/>
        <v>449483.19836159993</v>
      </c>
      <c r="L50" s="219">
        <f t="shared" ca="1" si="7"/>
        <v>462967.69431244791</v>
      </c>
      <c r="M50" s="219">
        <f t="shared" ca="1" si="7"/>
        <v>476856.72514182137</v>
      </c>
      <c r="N50" s="219">
        <f t="shared" ca="1" si="7"/>
        <v>491162.42689607607</v>
      </c>
      <c r="O50" s="219">
        <f t="shared" ca="1" si="7"/>
        <v>505897.29970295832</v>
      </c>
      <c r="P50" s="219">
        <f t="shared" ca="1" si="7"/>
        <v>521074.21869404707</v>
      </c>
      <c r="Q50" s="219">
        <f t="shared" ca="1" si="7"/>
        <v>536706.44525486848</v>
      </c>
      <c r="R50" s="219">
        <f t="shared" ca="1" si="7"/>
        <v>552807.63861251459</v>
      </c>
    </row>
    <row r="51" spans="2:20">
      <c r="B51" s="185" t="s">
        <v>55</v>
      </c>
      <c r="G51" s="219"/>
      <c r="H51" s="219">
        <f ca="1">SUM(G40:R40)</f>
        <v>950950</v>
      </c>
      <c r="I51" s="219">
        <f t="shared" ref="I51:R51" ca="1" si="8">$G$17*$G$23*$M$19*(1+$M$22)^H44*12</f>
        <v>1237236</v>
      </c>
      <c r="J51" s="219">
        <f t="shared" ca="1" si="8"/>
        <v>1274353.08</v>
      </c>
      <c r="K51" s="219">
        <f t="shared" ca="1" si="8"/>
        <v>1312583.6724</v>
      </c>
      <c r="L51" s="219">
        <f t="shared" ca="1" si="8"/>
        <v>1351961.182572</v>
      </c>
      <c r="M51" s="219">
        <f t="shared" ca="1" si="8"/>
        <v>1392520.0180491598</v>
      </c>
      <c r="N51" s="219">
        <f t="shared" ca="1" si="8"/>
        <v>1434295.6185906348</v>
      </c>
      <c r="O51" s="219">
        <f t="shared" ca="1" si="8"/>
        <v>1477324.4871483538</v>
      </c>
      <c r="P51" s="219">
        <f t="shared" ca="1" si="8"/>
        <v>1521644.2217628043</v>
      </c>
      <c r="Q51" s="219">
        <f t="shared" ca="1" si="8"/>
        <v>1567293.5484156886</v>
      </c>
      <c r="R51" s="219">
        <f t="shared" ca="1" si="8"/>
        <v>1614312.3548681592</v>
      </c>
    </row>
    <row r="52" spans="2:20">
      <c r="B52" s="185" t="s">
        <v>56</v>
      </c>
      <c r="G52" s="219"/>
      <c r="H52" s="219">
        <f ca="1">SUM(G41:R41)</f>
        <v>718770</v>
      </c>
      <c r="I52" s="219">
        <f t="shared" ref="I52:R52" ca="1" si="9">$G$17*$G$24*$M$20*(1+$M$22)^H44*12</f>
        <v>935157.60000000009</v>
      </c>
      <c r="J52" s="219">
        <f t="shared" ca="1" si="9"/>
        <v>963212.32799999998</v>
      </c>
      <c r="K52" s="219">
        <f t="shared" ca="1" si="9"/>
        <v>992108.69784000004</v>
      </c>
      <c r="L52" s="219">
        <f t="shared" ca="1" si="9"/>
        <v>1021871.9587751999</v>
      </c>
      <c r="M52" s="219">
        <f t="shared" ca="1" si="9"/>
        <v>1052528.1175384559</v>
      </c>
      <c r="N52" s="219">
        <f t="shared" ca="1" si="9"/>
        <v>1084103.9610646095</v>
      </c>
      <c r="O52" s="219">
        <f t="shared" ca="1" si="9"/>
        <v>1116627.0798965478</v>
      </c>
      <c r="P52" s="219">
        <f t="shared" ca="1" si="9"/>
        <v>1150125.8922934441</v>
      </c>
      <c r="Q52" s="219">
        <f t="shared" ca="1" si="9"/>
        <v>1184629.6690622475</v>
      </c>
      <c r="R52" s="219">
        <f t="shared" ca="1" si="9"/>
        <v>1220168.559134115</v>
      </c>
    </row>
    <row r="53" spans="2:20">
      <c r="B53" s="247" t="s">
        <v>57</v>
      </c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</row>
    <row r="54" spans="2:20">
      <c r="B54" s="185" t="s">
        <v>58</v>
      </c>
      <c r="G54" s="219"/>
      <c r="H54" s="219">
        <f t="shared" ref="H54:R54" ca="1" si="10">$G$25*$M$29*(1+$M$22)^G44</f>
        <v>82890.370370370365</v>
      </c>
      <c r="I54" s="219">
        <f t="shared" ca="1" si="10"/>
        <v>85377.08148148148</v>
      </c>
      <c r="J54" s="219">
        <f t="shared" ca="1" si="10"/>
        <v>87938.39392592592</v>
      </c>
      <c r="K54" s="219">
        <f t="shared" ca="1" si="10"/>
        <v>90576.545743703697</v>
      </c>
      <c r="L54" s="219">
        <f t="shared" ca="1" si="10"/>
        <v>93293.842116014799</v>
      </c>
      <c r="M54" s="219">
        <f t="shared" ca="1" si="10"/>
        <v>96092.657379495242</v>
      </c>
      <c r="N54" s="219">
        <f t="shared" ca="1" si="10"/>
        <v>98975.43710088011</v>
      </c>
      <c r="O54" s="219">
        <f t="shared" ca="1" si="10"/>
        <v>101944.70021390652</v>
      </c>
      <c r="P54" s="219">
        <f t="shared" ca="1" si="10"/>
        <v>105003.04122032369</v>
      </c>
      <c r="Q54" s="219">
        <f t="shared" ca="1" si="10"/>
        <v>108153.13245693341</v>
      </c>
      <c r="R54" s="219">
        <f t="shared" ca="1" si="10"/>
        <v>111397.72643064141</v>
      </c>
    </row>
    <row r="55" spans="2:20">
      <c r="B55" s="244" t="s">
        <v>59</v>
      </c>
      <c r="C55" s="244"/>
      <c r="D55" s="244"/>
      <c r="E55" s="244"/>
      <c r="F55" s="244"/>
      <c r="G55" s="245"/>
      <c r="H55" s="245">
        <f t="shared" ref="H55:R55" ca="1" si="11">SUM(H48:H54)</f>
        <v>2068770.3703703703</v>
      </c>
      <c r="I55" s="245">
        <f t="shared" ca="1" si="11"/>
        <v>2681451.7054814813</v>
      </c>
      <c r="J55" s="245">
        <f t="shared" ca="1" si="11"/>
        <v>2761895.2566459258</v>
      </c>
      <c r="K55" s="245">
        <f t="shared" ca="1" si="11"/>
        <v>2844752.1143453037</v>
      </c>
      <c r="L55" s="245">
        <f t="shared" ca="1" si="11"/>
        <v>2930094.6777756624</v>
      </c>
      <c r="M55" s="245">
        <f t="shared" ca="1" si="11"/>
        <v>3017997.5181089328</v>
      </c>
      <c r="N55" s="245">
        <f t="shared" ca="1" si="11"/>
        <v>3108537.443652201</v>
      </c>
      <c r="O55" s="245">
        <f t="shared" ca="1" si="11"/>
        <v>3201793.5669617662</v>
      </c>
      <c r="P55" s="245">
        <f t="shared" ca="1" si="11"/>
        <v>3297847.3739706189</v>
      </c>
      <c r="Q55" s="245">
        <f t="shared" ca="1" si="11"/>
        <v>3396782.7951897383</v>
      </c>
      <c r="R55" s="245">
        <f t="shared" ca="1" si="11"/>
        <v>3498686.2790454305</v>
      </c>
    </row>
    <row r="56" spans="2:20"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</row>
    <row r="57" spans="2:20">
      <c r="B57" s="238" t="s">
        <v>60</v>
      </c>
      <c r="C57" s="238"/>
      <c r="D57" s="238"/>
      <c r="E57" s="238"/>
      <c r="F57" s="238"/>
      <c r="G57" s="238"/>
      <c r="H57" s="240">
        <f t="shared" ref="H57:R57" ca="1" si="12">-(1-H45)*SUM(H50:H52)</f>
        <v>-99294.000000000087</v>
      </c>
      <c r="I57" s="240">
        <f t="shared" ca="1" si="12"/>
        <v>-129803.73120000011</v>
      </c>
      <c r="J57" s="240">
        <f t="shared" ca="1" si="12"/>
        <v>-133697.84313600013</v>
      </c>
      <c r="K57" s="240">
        <f t="shared" ca="1" si="12"/>
        <v>-137708.77843008013</v>
      </c>
      <c r="L57" s="240">
        <f t="shared" ca="1" si="12"/>
        <v>-141840.04178298253</v>
      </c>
      <c r="M57" s="240">
        <f t="shared" ca="1" si="12"/>
        <v>-146095.24303647201</v>
      </c>
      <c r="N57" s="240">
        <f t="shared" ca="1" si="12"/>
        <v>-150478.10032756618</v>
      </c>
      <c r="O57" s="240">
        <f t="shared" ca="1" si="12"/>
        <v>-154992.44333739314</v>
      </c>
      <c r="P57" s="240">
        <f t="shared" ca="1" si="12"/>
        <v>-159642.21663751491</v>
      </c>
      <c r="Q57" s="240">
        <f t="shared" ca="1" si="12"/>
        <v>-164431.48313664037</v>
      </c>
      <c r="R57" s="240">
        <f t="shared" ca="1" si="12"/>
        <v>-169364.42763073961</v>
      </c>
    </row>
    <row r="58" spans="2:20">
      <c r="B58" s="185" t="s">
        <v>61</v>
      </c>
      <c r="H58" s="219">
        <f ca="1">SUM(H55:H57)</f>
        <v>1969476.3703703703</v>
      </c>
      <c r="I58" s="219">
        <f t="shared" ref="I58:R58" ca="1" si="13">SUM(I55:I57)</f>
        <v>2551647.974281481</v>
      </c>
      <c r="J58" s="219">
        <f t="shared" ca="1" si="13"/>
        <v>2628197.4135099258</v>
      </c>
      <c r="K58" s="219">
        <f t="shared" ca="1" si="13"/>
        <v>2707043.3359152237</v>
      </c>
      <c r="L58" s="219">
        <f t="shared" ca="1" si="13"/>
        <v>2788254.6359926797</v>
      </c>
      <c r="M58" s="219">
        <f t="shared" ca="1" si="13"/>
        <v>2871902.275072461</v>
      </c>
      <c r="N58" s="219">
        <f t="shared" ca="1" si="13"/>
        <v>2958059.3433246347</v>
      </c>
      <c r="O58" s="219">
        <f t="shared" ca="1" si="13"/>
        <v>3046801.1236243732</v>
      </c>
      <c r="P58" s="219">
        <f t="shared" ca="1" si="13"/>
        <v>3138205.1573331039</v>
      </c>
      <c r="Q58" s="219">
        <f t="shared" ca="1" si="13"/>
        <v>3232351.3120530979</v>
      </c>
      <c r="R58" s="219">
        <f t="shared" ca="1" si="13"/>
        <v>3329321.8514146907</v>
      </c>
    </row>
    <row r="60" spans="2:20">
      <c r="B60" s="185" t="s">
        <v>62</v>
      </c>
      <c r="H60" s="219">
        <f t="shared" ref="H60:R60" ca="1" si="14">-($M$25*H58)*(1+$M$26)^H44</f>
        <v>-502216.47444444447</v>
      </c>
      <c r="I60" s="219">
        <f t="shared" ca="1" si="14"/>
        <v>-663683.63811061322</v>
      </c>
      <c r="J60" s="219">
        <f t="shared" ca="1" si="14"/>
        <v>-697266.03019901027</v>
      </c>
      <c r="K60" s="219">
        <f t="shared" ca="1" si="14"/>
        <v>-732547.69132708025</v>
      </c>
      <c r="L60" s="219">
        <f t="shared" ca="1" si="14"/>
        <v>-769614.60450823035</v>
      </c>
      <c r="M60" s="219">
        <f t="shared" ca="1" si="14"/>
        <v>-808557.10349634709</v>
      </c>
      <c r="N60" s="219">
        <f t="shared" ca="1" si="14"/>
        <v>-849470.09293326212</v>
      </c>
      <c r="O60" s="219">
        <f t="shared" ca="1" si="14"/>
        <v>-892453.27963568503</v>
      </c>
      <c r="P60" s="219">
        <f t="shared" ca="1" si="14"/>
        <v>-937611.41558525059</v>
      </c>
      <c r="Q60" s="219">
        <f t="shared" ca="1" si="14"/>
        <v>-985054.55321386456</v>
      </c>
      <c r="R60" s="219">
        <f t="shared" ca="1" si="14"/>
        <v>-1034898.3136064858</v>
      </c>
    </row>
    <row r="61" spans="2:20">
      <c r="B61" s="185" t="s">
        <v>31</v>
      </c>
      <c r="H61" s="395">
        <f t="shared" ref="H61:R61" ca="1" si="15">-($G$12*$L$27)*$M$27*(1+$M$26)^G44</f>
        <v>-170262.91161665466</v>
      </c>
      <c r="I61" s="395">
        <f t="shared" ca="1" si="15"/>
        <v>-173668.16984898775</v>
      </c>
      <c r="J61" s="395">
        <f t="shared" ca="1" si="15"/>
        <v>-177141.5332459675</v>
      </c>
      <c r="K61" s="395">
        <f t="shared" ca="1" si="15"/>
        <v>-180684.36391088684</v>
      </c>
      <c r="L61" s="395">
        <f t="shared" ca="1" si="15"/>
        <v>-184298.05118910459</v>
      </c>
      <c r="M61" s="395">
        <f t="shared" ca="1" si="15"/>
        <v>-187984.01221288668</v>
      </c>
      <c r="N61" s="395">
        <f t="shared" ca="1" si="15"/>
        <v>-191743.69245714444</v>
      </c>
      <c r="O61" s="395">
        <f t="shared" ca="1" si="15"/>
        <v>-195578.56630628728</v>
      </c>
      <c r="P61" s="395">
        <f t="shared" ca="1" si="15"/>
        <v>-199490.13763241304</v>
      </c>
      <c r="Q61" s="395">
        <f t="shared" ca="1" si="15"/>
        <v>-203479.94038506132</v>
      </c>
      <c r="R61" s="395">
        <f t="shared" ca="1" si="15"/>
        <v>-207549.53919276255</v>
      </c>
      <c r="T61" s="249"/>
    </row>
    <row r="62" spans="2:20">
      <c r="B62" s="185" t="s">
        <v>63</v>
      </c>
      <c r="H62" s="219">
        <f t="shared" ref="H62:R62" ca="1" si="16">-H58*$M$28</f>
        <v>-39389.527407407404</v>
      </c>
      <c r="I62" s="219">
        <f t="shared" ca="1" si="16"/>
        <v>-51032.959485629624</v>
      </c>
      <c r="J62" s="219">
        <f t="shared" ca="1" si="16"/>
        <v>-52563.948270198518</v>
      </c>
      <c r="K62" s="219">
        <f t="shared" ca="1" si="16"/>
        <v>-54140.866718304474</v>
      </c>
      <c r="L62" s="219">
        <f t="shared" ca="1" si="16"/>
        <v>-55765.092719853594</v>
      </c>
      <c r="M62" s="219">
        <f t="shared" ca="1" si="16"/>
        <v>-57438.045501449218</v>
      </c>
      <c r="N62" s="219">
        <f t="shared" ca="1" si="16"/>
        <v>-59161.186866492695</v>
      </c>
      <c r="O62" s="219">
        <f t="shared" ca="1" si="16"/>
        <v>-60936.022472487464</v>
      </c>
      <c r="P62" s="219">
        <f t="shared" ca="1" si="16"/>
        <v>-62764.103146662077</v>
      </c>
      <c r="Q62" s="219">
        <f t="shared" ca="1" si="16"/>
        <v>-64647.026241061962</v>
      </c>
      <c r="R62" s="219">
        <f t="shared" ca="1" si="16"/>
        <v>-66586.437028293818</v>
      </c>
    </row>
    <row r="63" spans="2:20">
      <c r="B63" s="244" t="s">
        <v>64</v>
      </c>
      <c r="C63" s="244"/>
      <c r="D63" s="244"/>
      <c r="E63" s="244"/>
      <c r="F63" s="244"/>
      <c r="G63" s="244"/>
      <c r="H63" s="245">
        <f ca="1">SUM(H58:H62)</f>
        <v>1257607.4569018639</v>
      </c>
      <c r="I63" s="245">
        <f t="shared" ref="I63:R63" ca="1" si="17">SUM(I58:I62)</f>
        <v>1663263.2068362504</v>
      </c>
      <c r="J63" s="245">
        <f t="shared" ca="1" si="17"/>
        <v>1701225.9017947495</v>
      </c>
      <c r="K63" s="245">
        <f t="shared" ca="1" si="17"/>
        <v>1739670.4139589521</v>
      </c>
      <c r="L63" s="245">
        <f t="shared" ca="1" si="17"/>
        <v>1778576.8875754911</v>
      </c>
      <c r="M63" s="245">
        <f t="shared" ca="1" si="17"/>
        <v>1817923.1138617781</v>
      </c>
      <c r="N63" s="245">
        <f t="shared" ca="1" si="17"/>
        <v>1857684.3710677354</v>
      </c>
      <c r="O63" s="245">
        <f t="shared" ca="1" si="17"/>
        <v>1897833.2552099135</v>
      </c>
      <c r="P63" s="245">
        <f t="shared" ca="1" si="17"/>
        <v>1938339.5009687783</v>
      </c>
      <c r="Q63" s="245">
        <f t="shared" ca="1" si="17"/>
        <v>1979169.79221311</v>
      </c>
      <c r="R63" s="245">
        <f t="shared" ca="1" si="17"/>
        <v>2020287.5615871488</v>
      </c>
    </row>
    <row r="65" spans="1:18">
      <c r="B65" s="185" t="s">
        <v>65</v>
      </c>
      <c r="H65" s="219">
        <f t="shared" ref="H65:R65" si="18">IF(H44=$M$31,I63/$M$33,0)</f>
        <v>0</v>
      </c>
      <c r="I65" s="219">
        <f t="shared" si="18"/>
        <v>0</v>
      </c>
      <c r="J65" s="219">
        <f t="shared" si="18"/>
        <v>0</v>
      </c>
      <c r="K65" s="219">
        <f t="shared" si="18"/>
        <v>0</v>
      </c>
      <c r="L65" s="219">
        <f t="shared" si="18"/>
        <v>0</v>
      </c>
      <c r="M65" s="219">
        <f t="shared" si="18"/>
        <v>0</v>
      </c>
      <c r="N65" s="219">
        <f t="shared" si="18"/>
        <v>0</v>
      </c>
      <c r="O65" s="219">
        <f t="shared" si="18"/>
        <v>0</v>
      </c>
      <c r="P65" s="219">
        <f t="shared" ca="1" si="18"/>
        <v>37698472.23263067</v>
      </c>
      <c r="Q65" s="219">
        <f t="shared" si="18"/>
        <v>0</v>
      </c>
      <c r="R65" s="219">
        <f t="shared" si="18"/>
        <v>0</v>
      </c>
    </row>
    <row r="66" spans="1:18">
      <c r="B66" s="238" t="s">
        <v>66</v>
      </c>
      <c r="C66" s="238"/>
      <c r="D66" s="238"/>
      <c r="E66" s="238"/>
      <c r="F66" s="238"/>
      <c r="G66" s="238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</row>
    <row r="67" spans="1:18">
      <c r="A67" s="250"/>
      <c r="B67" s="251" t="s">
        <v>67</v>
      </c>
      <c r="C67" s="251"/>
      <c r="D67" s="251"/>
      <c r="E67" s="251"/>
      <c r="F67" s="251"/>
      <c r="G67" s="252">
        <f t="shared" ref="G67:R67" ca="1" si="19">IF(G44&lt;=$M$31,SUM(G63,G65:G66,G47),0)</f>
        <v>-30657328.700443052</v>
      </c>
      <c r="H67" s="252">
        <f t="shared" ca="1" si="19"/>
        <v>1257607.4569018639</v>
      </c>
      <c r="I67" s="252">
        <f t="shared" ca="1" si="19"/>
        <v>1663263.2068362504</v>
      </c>
      <c r="J67" s="252">
        <f t="shared" ca="1" si="19"/>
        <v>1701225.9017947495</v>
      </c>
      <c r="K67" s="252">
        <f t="shared" ca="1" si="19"/>
        <v>1739670.4139589521</v>
      </c>
      <c r="L67" s="252">
        <f t="shared" ca="1" si="19"/>
        <v>1778576.8875754911</v>
      </c>
      <c r="M67" s="252">
        <f t="shared" ca="1" si="19"/>
        <v>1817923.1138617781</v>
      </c>
      <c r="N67" s="252">
        <f t="shared" ca="1" si="19"/>
        <v>1857684.3710677354</v>
      </c>
      <c r="O67" s="252">
        <f t="shared" ca="1" si="19"/>
        <v>1897833.2552099135</v>
      </c>
      <c r="P67" s="252">
        <f t="shared" ca="1" si="19"/>
        <v>39636811.733599447</v>
      </c>
      <c r="Q67" s="252">
        <f t="shared" si="19"/>
        <v>0</v>
      </c>
      <c r="R67" s="252">
        <f t="shared" si="19"/>
        <v>0</v>
      </c>
    </row>
    <row r="68" spans="1:18" ht="16" thickBot="1"/>
    <row r="69" spans="1:18">
      <c r="B69" s="253" t="s">
        <v>68</v>
      </c>
      <c r="C69" s="254"/>
      <c r="D69" s="254"/>
      <c r="E69" s="254"/>
      <c r="F69" s="255">
        <f ca="1">SUM(G67:R67)</f>
        <v>22693267.640363127</v>
      </c>
    </row>
    <row r="70" spans="1:18">
      <c r="B70" s="256" t="s">
        <v>69</v>
      </c>
      <c r="F70" s="265">
        <f ca="1">NPV(M32,H67:R67)</f>
        <v>30555810.124822251</v>
      </c>
    </row>
    <row r="71" spans="1:18">
      <c r="B71" s="256" t="s">
        <v>70</v>
      </c>
      <c r="F71" s="265">
        <f ca="1">F70+G67</f>
        <v>-101518.57562080026</v>
      </c>
      <c r="G71" s="258"/>
    </row>
    <row r="72" spans="1:18">
      <c r="B72" s="256" t="s">
        <v>71</v>
      </c>
      <c r="F72" s="259">
        <f ca="1">IRR(G67:R67)</f>
        <v>7.4524517991146455E-2</v>
      </c>
    </row>
    <row r="73" spans="1:18" ht="16" thickBot="1">
      <c r="B73" s="260" t="s">
        <v>72</v>
      </c>
      <c r="C73" s="261"/>
      <c r="D73" s="261"/>
      <c r="E73" s="261"/>
      <c r="F73" s="262">
        <f ca="1">(F69/-G67)+1</f>
        <v>1.7402232550037919</v>
      </c>
    </row>
    <row r="75" spans="1:18">
      <c r="B75" s="185" t="s">
        <v>73</v>
      </c>
      <c r="G75" s="219">
        <f ca="1">R29</f>
        <v>19729964.015136618</v>
      </c>
    </row>
    <row r="76" spans="1:18">
      <c r="B76" s="185" t="s">
        <v>74</v>
      </c>
      <c r="H76" s="258">
        <f t="shared" ref="H76:R76" si="20">IF(H44=$M$31,FV($R$18/12,H44*12,$R$20,$R$17,0),0)</f>
        <v>0</v>
      </c>
      <c r="I76" s="258">
        <f t="shared" si="20"/>
        <v>0</v>
      </c>
      <c r="J76" s="258">
        <f t="shared" si="20"/>
        <v>0</v>
      </c>
      <c r="K76" s="258">
        <f t="shared" si="20"/>
        <v>0</v>
      </c>
      <c r="L76" s="258">
        <f t="shared" si="20"/>
        <v>0</v>
      </c>
      <c r="M76" s="258">
        <f t="shared" si="20"/>
        <v>0</v>
      </c>
      <c r="N76" s="258">
        <f t="shared" si="20"/>
        <v>0</v>
      </c>
      <c r="O76" s="219">
        <f t="shared" si="20"/>
        <v>0</v>
      </c>
      <c r="P76" s="258">
        <f t="shared" ca="1" si="20"/>
        <v>-16278466.890301663</v>
      </c>
      <c r="Q76" s="219">
        <f t="shared" si="20"/>
        <v>0</v>
      </c>
      <c r="R76" s="258">
        <f t="shared" si="20"/>
        <v>0</v>
      </c>
    </row>
    <row r="77" spans="1:18">
      <c r="B77" s="185" t="s">
        <v>75</v>
      </c>
      <c r="H77" s="219">
        <f t="shared" ref="H77:R77" ca="1" si="21">IF(H44&lt;=$M$31,$R$20*12,0)</f>
        <v>-1199625.9515835568</v>
      </c>
      <c r="I77" s="219">
        <f t="shared" ca="1" si="21"/>
        <v>-1199625.9515835568</v>
      </c>
      <c r="J77" s="219">
        <f t="shared" ca="1" si="21"/>
        <v>-1199625.9515835568</v>
      </c>
      <c r="K77" s="219">
        <f t="shared" ca="1" si="21"/>
        <v>-1199625.9515835568</v>
      </c>
      <c r="L77" s="219">
        <f t="shared" ca="1" si="21"/>
        <v>-1199625.9515835568</v>
      </c>
      <c r="M77" s="219">
        <f t="shared" ca="1" si="21"/>
        <v>-1199625.9515835568</v>
      </c>
      <c r="N77" s="219">
        <f t="shared" ca="1" si="21"/>
        <v>-1199625.9515835568</v>
      </c>
      <c r="O77" s="219">
        <f t="shared" ca="1" si="21"/>
        <v>-1199625.9515835568</v>
      </c>
      <c r="P77" s="219">
        <f t="shared" ca="1" si="21"/>
        <v>-1199625.9515835568</v>
      </c>
      <c r="Q77" s="219">
        <f t="shared" si="21"/>
        <v>0</v>
      </c>
      <c r="R77" s="219">
        <f t="shared" si="21"/>
        <v>0</v>
      </c>
    </row>
    <row r="78" spans="1:18">
      <c r="B78" s="325" t="s">
        <v>438</v>
      </c>
      <c r="G78" s="219">
        <f>SUM(G76:G77)</f>
        <v>0</v>
      </c>
      <c r="H78" s="219">
        <f ca="1">SUM(H76:H77)</f>
        <v>-1199625.9515835568</v>
      </c>
      <c r="I78" s="219">
        <f t="shared" ref="I78:Q78" ca="1" si="22">SUM(I76:I77)</f>
        <v>-1199625.9515835568</v>
      </c>
      <c r="J78" s="219">
        <f t="shared" ca="1" si="22"/>
        <v>-1199625.9515835568</v>
      </c>
      <c r="K78" s="219">
        <f t="shared" ca="1" si="22"/>
        <v>-1199625.9515835568</v>
      </c>
      <c r="L78" s="219">
        <f t="shared" ca="1" si="22"/>
        <v>-1199625.9515835568</v>
      </c>
      <c r="M78" s="219">
        <f t="shared" ca="1" si="22"/>
        <v>-1199625.9515835568</v>
      </c>
      <c r="N78" s="219">
        <f t="shared" ca="1" si="22"/>
        <v>-1199625.9515835568</v>
      </c>
      <c r="O78" s="219">
        <f t="shared" ca="1" si="22"/>
        <v>-1199625.9515835568</v>
      </c>
      <c r="P78" s="219">
        <f t="shared" ca="1" si="22"/>
        <v>-17478092.84188522</v>
      </c>
      <c r="Q78" s="219">
        <f t="shared" si="22"/>
        <v>0</v>
      </c>
    </row>
    <row r="79" spans="1:18">
      <c r="A79" s="250"/>
      <c r="B79" s="251" t="s">
        <v>76</v>
      </c>
      <c r="C79" s="251"/>
      <c r="D79" s="251"/>
      <c r="E79" s="251"/>
      <c r="F79" s="251"/>
      <c r="G79" s="252">
        <f ca="1">SUM(G67,G75:G77)</f>
        <v>-10927364.685306434</v>
      </c>
      <c r="H79" s="252">
        <f t="shared" ref="H79:R79" ca="1" si="23">SUM(H67,H75:H77)</f>
        <v>57981.505318307085</v>
      </c>
      <c r="I79" s="252">
        <f t="shared" ca="1" si="23"/>
        <v>463637.25525269355</v>
      </c>
      <c r="J79" s="252">
        <f t="shared" ca="1" si="23"/>
        <v>501599.95021119271</v>
      </c>
      <c r="K79" s="252">
        <f t="shared" ca="1" si="23"/>
        <v>540044.46237539523</v>
      </c>
      <c r="L79" s="252">
        <f t="shared" ca="1" si="23"/>
        <v>578950.93599193427</v>
      </c>
      <c r="M79" s="252">
        <f t="shared" ca="1" si="23"/>
        <v>618297.16227822122</v>
      </c>
      <c r="N79" s="252">
        <f t="shared" ca="1" si="23"/>
        <v>658058.41948417854</v>
      </c>
      <c r="O79" s="252">
        <f t="shared" ca="1" si="23"/>
        <v>698207.30362635665</v>
      </c>
      <c r="P79" s="252">
        <f t="shared" ca="1" si="23"/>
        <v>22158718.891714226</v>
      </c>
      <c r="Q79" s="252">
        <f t="shared" si="23"/>
        <v>0</v>
      </c>
      <c r="R79" s="252">
        <f t="shared" si="23"/>
        <v>0</v>
      </c>
    </row>
    <row r="80" spans="1:18" ht="16" thickBot="1">
      <c r="H80" s="219"/>
      <c r="I80" s="219"/>
      <c r="J80" s="219"/>
      <c r="K80" s="219"/>
      <c r="L80" s="219"/>
      <c r="M80" s="219"/>
      <c r="N80" s="219"/>
      <c r="O80" s="219"/>
      <c r="P80" s="219"/>
      <c r="Q80" s="219"/>
    </row>
    <row r="81" spans="1:18">
      <c r="B81" s="253" t="str">
        <f>B69</f>
        <v>Profit</v>
      </c>
      <c r="C81" s="254"/>
      <c r="D81" s="254"/>
      <c r="E81" s="254"/>
      <c r="F81" s="255">
        <f ca="1">SUM(G79:R79)</f>
        <v>15348131.20094607</v>
      </c>
    </row>
    <row r="82" spans="1:18">
      <c r="B82" s="256" t="str">
        <f t="shared" ref="B82:B85" si="24">B70</f>
        <v>PV</v>
      </c>
      <c r="F82" s="257">
        <f ca="1">NPV($M$32,H79:R79)</f>
        <v>14412952.409675714</v>
      </c>
    </row>
    <row r="83" spans="1:18">
      <c r="B83" s="256" t="str">
        <f t="shared" si="24"/>
        <v>NPV</v>
      </c>
      <c r="F83" s="257">
        <f ca="1">F82+G79</f>
        <v>3485587.72436928</v>
      </c>
    </row>
    <row r="84" spans="1:18">
      <c r="B84" s="256" t="s">
        <v>77</v>
      </c>
      <c r="F84" s="263">
        <f ca="1">IRR(G79:R79)</f>
        <v>0.11225260373420198</v>
      </c>
    </row>
    <row r="85" spans="1:18" ht="16" thickBot="1">
      <c r="B85" s="260" t="str">
        <f t="shared" si="24"/>
        <v>Equity Multiple</v>
      </c>
      <c r="C85" s="261"/>
      <c r="D85" s="261"/>
      <c r="E85" s="261"/>
      <c r="F85" s="262">
        <f ca="1">(F81/-G79)+1</f>
        <v>2.404559254948639</v>
      </c>
    </row>
    <row r="87" spans="1:18">
      <c r="A87" s="185" t="s">
        <v>1</v>
      </c>
      <c r="B87" s="216" t="s">
        <v>78</v>
      </c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</row>
    <row r="88" spans="1:18">
      <c r="B88" s="185" t="s">
        <v>79</v>
      </c>
      <c r="H88" s="264">
        <f ca="1">-H67/$G$67</f>
        <v>4.1021429792207867E-2</v>
      </c>
      <c r="I88" s="264">
        <f t="shared" ref="I88:R88" ca="1" si="25">-I67/$G$67</f>
        <v>5.4253363790701482E-2</v>
      </c>
      <c r="J88" s="264">
        <f t="shared" ca="1" si="25"/>
        <v>5.5491654814992533E-2</v>
      </c>
      <c r="K88" s="264">
        <f t="shared" ca="1" si="25"/>
        <v>5.674566205547487E-2</v>
      </c>
      <c r="L88" s="264">
        <f t="shared" ca="1" si="25"/>
        <v>5.8014737844715988E-2</v>
      </c>
      <c r="M88" s="264">
        <f t="shared" ca="1" si="25"/>
        <v>5.9298157762698547E-2</v>
      </c>
      <c r="N88" s="264">
        <f t="shared" ca="1" si="25"/>
        <v>6.0595115419853546E-2</v>
      </c>
      <c r="O88" s="264">
        <f t="shared" ca="1" si="25"/>
        <v>6.1904716935839439E-2</v>
      </c>
      <c r="P88" s="264">
        <f t="shared" ca="1" si="25"/>
        <v>1.2928984165873076</v>
      </c>
      <c r="Q88" s="264">
        <f t="shared" ca="1" si="25"/>
        <v>0</v>
      </c>
      <c r="R88" s="264">
        <f t="shared" ca="1" si="25"/>
        <v>0</v>
      </c>
    </row>
    <row r="89" spans="1:18">
      <c r="B89" s="185" t="s">
        <v>80</v>
      </c>
      <c r="H89" s="264">
        <f ca="1">-H79/$G$79</f>
        <v>5.3060831214201505E-3</v>
      </c>
      <c r="I89" s="264">
        <f t="shared" ref="I89:R89" ca="1" si="26">-I79/$G$79</f>
        <v>4.2429009061638351E-2</v>
      </c>
      <c r="J89" s="264">
        <f t="shared" ca="1" si="26"/>
        <v>4.5903103324232697E-2</v>
      </c>
      <c r="K89" s="264">
        <f t="shared" ca="1" si="26"/>
        <v>4.9421290304474806E-2</v>
      </c>
      <c r="L89" s="264">
        <f t="shared" ca="1" si="26"/>
        <v>5.2981752935401263E-2</v>
      </c>
      <c r="M89" s="264">
        <f t="shared" ca="1" si="26"/>
        <v>5.6582458816407888E-2</v>
      </c>
      <c r="N89" s="264">
        <f t="shared" ca="1" si="26"/>
        <v>6.0221145576759415E-2</v>
      </c>
      <c r="O89" s="264">
        <f t="shared" ca="1" si="26"/>
        <v>6.3895305385497619E-2</v>
      </c>
      <c r="P89" s="264">
        <f t="shared" ca="1" si="26"/>
        <v>2.0278191064228066</v>
      </c>
      <c r="Q89" s="264">
        <f t="shared" ca="1" si="26"/>
        <v>0</v>
      </c>
      <c r="R89" s="264">
        <f t="shared" ca="1" si="26"/>
        <v>0</v>
      </c>
    </row>
    <row r="90" spans="1:18">
      <c r="B90" s="185" t="s">
        <v>81</v>
      </c>
      <c r="H90" s="219">
        <f t="shared" ref="H90:R90" ca="1" si="27">-CUMPRINC($R$18/12,$R$19*12,$R$17,H44*12-11,H44*12,0)</f>
        <v>318289.04575193295</v>
      </c>
      <c r="I90" s="219">
        <f t="shared" ca="1" si="27"/>
        <v>332911.18882611336</v>
      </c>
      <c r="J90" s="219">
        <f t="shared" ca="1" si="27"/>
        <v>348205.07059483993</v>
      </c>
      <c r="K90" s="219">
        <f t="shared" ca="1" si="27"/>
        <v>364201.55061621341</v>
      </c>
      <c r="L90" s="219">
        <f t="shared" ca="1" si="27"/>
        <v>380932.90613103408</v>
      </c>
      <c r="M90" s="219">
        <f t="shared" ca="1" si="27"/>
        <v>398432.89719089743</v>
      </c>
      <c r="N90" s="219">
        <f t="shared" ca="1" si="27"/>
        <v>416736.83477826294</v>
      </c>
      <c r="O90" s="219">
        <f t="shared" ca="1" si="27"/>
        <v>435881.65205594571</v>
      </c>
      <c r="P90" s="219">
        <f t="shared" ca="1" si="27"/>
        <v>455905.97888979939</v>
      </c>
      <c r="Q90" s="219">
        <f t="shared" ca="1" si="27"/>
        <v>476850.21979495592</v>
      </c>
      <c r="R90" s="219">
        <f t="shared" ca="1" si="27"/>
        <v>498756.63546290342</v>
      </c>
    </row>
    <row r="91" spans="1:18">
      <c r="B91" s="185" t="s">
        <v>82</v>
      </c>
      <c r="H91" s="264">
        <f t="shared" ref="H91:R91" ca="1" si="28">IF(H44&lt;=$M$31,(H90+H79)/-$G$79,0)</f>
        <v>3.443378727683493E-2</v>
      </c>
      <c r="I91" s="264">
        <f t="shared" ca="1" si="28"/>
        <v>7.2894834849786982E-2</v>
      </c>
      <c r="J91" s="264">
        <f t="shared" ca="1" si="28"/>
        <v>7.7768523818805987E-2</v>
      </c>
      <c r="K91" s="264">
        <f t="shared" ca="1" si="28"/>
        <v>8.2750602641413637E-2</v>
      </c>
      <c r="L91" s="264">
        <f t="shared" ca="1" si="28"/>
        <v>8.7842208049822262E-2</v>
      </c>
      <c r="M91" s="264">
        <f t="shared" ca="1" si="28"/>
        <v>9.3044397139620746E-2</v>
      </c>
      <c r="N91" s="264">
        <f t="shared" ca="1" si="28"/>
        <v>9.8358138967181485E-2</v>
      </c>
      <c r="O91" s="264">
        <f t="shared" ca="1" si="28"/>
        <v>0.10378430557984981</v>
      </c>
      <c r="P91" s="264">
        <f t="shared" ca="1" si="28"/>
        <v>2.0695406003071315</v>
      </c>
      <c r="Q91" s="264">
        <f t="shared" si="28"/>
        <v>0</v>
      </c>
      <c r="R91" s="264">
        <f t="shared" si="28"/>
        <v>0</v>
      </c>
    </row>
    <row r="92" spans="1:18">
      <c r="B92" s="185" t="s">
        <v>24</v>
      </c>
      <c r="H92" s="237">
        <f t="shared" ref="H92:R92" ca="1" si="29">IF(H44&lt;=$M$31,H63/-H77,0)</f>
        <v>1.0483329868295772</v>
      </c>
      <c r="I92" s="237">
        <f t="shared" ca="1" si="29"/>
        <v>1.3864848494154973</v>
      </c>
      <c r="J92" s="237">
        <f t="shared" ca="1" si="29"/>
        <v>1.4181302926541892</v>
      </c>
      <c r="K92" s="237">
        <f t="shared" ca="1" si="29"/>
        <v>1.4501773754248262</v>
      </c>
      <c r="L92" s="237">
        <f t="shared" ca="1" si="29"/>
        <v>1.4826095461070132</v>
      </c>
      <c r="M92" s="237">
        <f t="shared" ca="1" si="29"/>
        <v>1.5154082916112668</v>
      </c>
      <c r="N92" s="237">
        <f t="shared" ca="1" si="29"/>
        <v>1.5485530040555673</v>
      </c>
      <c r="O92" s="237">
        <f t="shared" ca="1" si="29"/>
        <v>1.5820208396664757</v>
      </c>
      <c r="P92" s="237">
        <f t="shared" ca="1" si="29"/>
        <v>1.6157865694803355</v>
      </c>
      <c r="Q92" s="237">
        <f t="shared" si="29"/>
        <v>0</v>
      </c>
      <c r="R92" s="237">
        <f t="shared" si="29"/>
        <v>0</v>
      </c>
    </row>
    <row r="93" spans="1:18">
      <c r="B93" s="185" t="s">
        <v>27</v>
      </c>
      <c r="H93" s="264">
        <f ca="1">H67/($G$75-SUM(H90:$H$90))</f>
        <v>6.4786138181548575E-2</v>
      </c>
      <c r="I93" s="264">
        <f ca="1">I67/($G$75-SUM($H90:I$90))</f>
        <v>8.7178772480590708E-2</v>
      </c>
      <c r="J93" s="264">
        <f ca="1">J67/($G$75-SUM($H90:J$90))</f>
        <v>9.0826222972717918E-2</v>
      </c>
      <c r="K93" s="264">
        <f ca="1">K67/($G$75-SUM($H90:K$90))</f>
        <v>9.4720493501540687E-2</v>
      </c>
      <c r="L93" s="264">
        <f ca="1">L67/($G$75-SUM($H90:L$90))</f>
        <v>9.8889904543531318E-2</v>
      </c>
      <c r="M93" s="264">
        <f ca="1">M67/($G$75-SUM($H90:M$90))</f>
        <v>0.10336748776753837</v>
      </c>
      <c r="N93" s="264">
        <f ca="1">N67/($G$75-SUM($H90:N$90))</f>
        <v>0.10819201129307342</v>
      </c>
      <c r="O93" s="264">
        <f ca="1">O67/($G$75-SUM($H90:O$90))</f>
        <v>0.11340928459314405</v>
      </c>
      <c r="P93" s="264">
        <f ca="1">P67/($G$75-SUM($H90:P$90))</f>
        <v>2.43492289542416</v>
      </c>
      <c r="Q93" s="264">
        <f ca="1">Q67/($G$75-SUM($H90:Q$90))</f>
        <v>0</v>
      </c>
      <c r="R93" s="264">
        <f ca="1">R67/($G$75-SUM($H90:R$90))</f>
        <v>0</v>
      </c>
    </row>
  </sheetData>
  <pageMargins left="0.7" right="0.7" top="0.75" bottom="0.75" header="0.3" footer="0.3"/>
  <pageSetup scale="41" orientation="portrait" r:id="rId1"/>
  <headerFooter>
    <oddHeader xml:space="preserve">&amp;L2019 ULI Hines Student Competition&amp;R2019-331 &amp;A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CFE52-F00B-46A7-97E2-5990E4DAC096}">
  <sheetPr>
    <tabColor theme="3"/>
  </sheetPr>
  <dimension ref="A3:X92"/>
  <sheetViews>
    <sheetView showGridLines="0" view="pageBreakPreview" zoomScale="80" zoomScaleNormal="100" zoomScaleSheetLayoutView="80" workbookViewId="0"/>
  </sheetViews>
  <sheetFormatPr baseColWidth="10" defaultColWidth="12.5" defaultRowHeight="15"/>
  <cols>
    <col min="1" max="1" width="3.83203125" style="185" customWidth="1"/>
    <col min="2" max="2" width="1.83203125" style="185" customWidth="1"/>
    <col min="3" max="3" width="3.5" style="185" customWidth="1"/>
    <col min="4" max="4" width="6.5" style="185" bestFit="1" customWidth="1"/>
    <col min="5" max="5" width="12.5" style="185"/>
    <col min="6" max="6" width="16.6640625" style="185" bestFit="1" customWidth="1"/>
    <col min="7" max="7" width="17.5" style="185" bestFit="1" customWidth="1"/>
    <col min="8" max="16" width="15.6640625" style="185" bestFit="1" customWidth="1"/>
    <col min="17" max="17" width="17" style="185" bestFit="1" customWidth="1"/>
    <col min="18" max="18" width="14.83203125" style="185" bestFit="1" customWidth="1"/>
    <col min="19" max="19" width="15.33203125" style="185" bestFit="1" customWidth="1"/>
    <col min="20" max="20" width="14.33203125" style="187" customWidth="1"/>
    <col min="21" max="21" width="13.33203125" style="185" bestFit="1" customWidth="1"/>
    <col min="22" max="22" width="3.5" style="185" customWidth="1"/>
    <col min="23" max="24" width="12.5" style="185"/>
    <col min="25" max="16384" width="12.5" style="184"/>
  </cols>
  <sheetData>
    <row r="3" spans="2:21" s="185" customFormat="1">
      <c r="C3" s="286"/>
      <c r="D3" s="181" t="s">
        <v>41</v>
      </c>
      <c r="E3" s="181"/>
      <c r="F3" s="182" t="s">
        <v>425</v>
      </c>
      <c r="G3" s="182" t="s">
        <v>310</v>
      </c>
      <c r="T3" s="187"/>
    </row>
    <row r="4" spans="2:21" s="185" customFormat="1">
      <c r="C4" s="286"/>
      <c r="D4" s="185" t="s">
        <v>186</v>
      </c>
      <c r="F4" s="186"/>
      <c r="G4" s="186">
        <f ca="1">Assumptions!U8</f>
        <v>54216.891381248446</v>
      </c>
      <c r="T4" s="187"/>
    </row>
    <row r="5" spans="2:21" s="185" customFormat="1">
      <c r="C5" s="286"/>
      <c r="D5" s="185" t="s">
        <v>422</v>
      </c>
      <c r="F5" s="186">
        <f>Assumptions!E59</f>
        <v>211.99752216000005</v>
      </c>
      <c r="G5" s="186">
        <f ca="1">F5*$G$18</f>
        <v>4343543.0324034849</v>
      </c>
      <c r="T5" s="187"/>
    </row>
    <row r="6" spans="2:21" s="185" customFormat="1">
      <c r="C6" s="286"/>
      <c r="D6" s="185" t="s">
        <v>423</v>
      </c>
      <c r="F6" s="186">
        <f>Assumptions!G59</f>
        <v>31.799628324000004</v>
      </c>
      <c r="G6" s="186">
        <f ca="1">F6*$G$18</f>
        <v>651531.45486052264</v>
      </c>
      <c r="T6" s="187"/>
    </row>
    <row r="7" spans="2:21" s="185" customFormat="1">
      <c r="C7" s="286"/>
      <c r="D7" s="185" t="s">
        <v>187</v>
      </c>
      <c r="F7" s="186"/>
      <c r="G7" s="186">
        <f ca="1">Assumptions!V8</f>
        <v>131727.3886618203</v>
      </c>
      <c r="T7" s="187"/>
    </row>
    <row r="8" spans="2:21" s="185" customFormat="1">
      <c r="C8" s="286"/>
      <c r="D8" s="185" t="s">
        <v>424</v>
      </c>
      <c r="F8" s="186"/>
      <c r="G8" s="186">
        <v>0</v>
      </c>
      <c r="T8" s="187"/>
    </row>
    <row r="9" spans="2:21" s="185" customFormat="1">
      <c r="C9" s="286"/>
      <c r="F9" s="188"/>
      <c r="G9" s="186"/>
      <c r="T9" s="187"/>
    </row>
    <row r="10" spans="2:21" s="185" customFormat="1">
      <c r="C10" s="286"/>
      <c r="F10" s="187"/>
      <c r="G10" s="187"/>
      <c r="T10" s="187"/>
    </row>
    <row r="11" spans="2:21" s="185" customFormat="1">
      <c r="C11" s="286"/>
      <c r="F11" s="187"/>
      <c r="G11" s="187"/>
      <c r="T11" s="187"/>
    </row>
    <row r="12" spans="2:21" s="185" customFormat="1">
      <c r="C12" s="286"/>
      <c r="D12" s="304" t="s">
        <v>426</v>
      </c>
      <c r="E12" s="304"/>
      <c r="F12" s="305">
        <f ca="1">G12/G17</f>
        <v>345401.25115380512</v>
      </c>
      <c r="G12" s="305">
        <f ca="1">G4+G5+G6+G7+G8+G9</f>
        <v>5181018.7673070766</v>
      </c>
      <c r="T12" s="187"/>
    </row>
    <row r="13" spans="2:21" s="185" customFormat="1">
      <c r="B13" s="287"/>
      <c r="T13" s="187"/>
    </row>
    <row r="14" spans="2:21" s="185" customFormat="1">
      <c r="B14" s="191" t="s">
        <v>83</v>
      </c>
      <c r="T14" s="187"/>
    </row>
    <row r="15" spans="2:21" s="185" customFormat="1">
      <c r="T15" s="187" t="s">
        <v>84</v>
      </c>
      <c r="U15" s="286" t="s">
        <v>85</v>
      </c>
    </row>
    <row r="16" spans="2:21" s="185" customFormat="1">
      <c r="B16" s="216" t="s">
        <v>2</v>
      </c>
      <c r="C16" s="216"/>
      <c r="D16" s="216"/>
      <c r="E16" s="216"/>
      <c r="F16" s="216"/>
      <c r="G16" s="216"/>
      <c r="I16" s="216" t="s">
        <v>3</v>
      </c>
      <c r="J16" s="216"/>
      <c r="K16" s="216"/>
      <c r="L16" s="216"/>
      <c r="M16" s="216"/>
      <c r="O16" s="423" t="s">
        <v>4</v>
      </c>
      <c r="P16" s="423"/>
      <c r="Q16" s="423"/>
      <c r="R16" s="423"/>
      <c r="T16" s="278" t="s">
        <v>86</v>
      </c>
      <c r="U16" s="279">
        <v>0.3</v>
      </c>
    </row>
    <row r="17" spans="2:23" s="185" customFormat="1">
      <c r="B17" s="185" t="s">
        <v>5</v>
      </c>
      <c r="G17" s="217">
        <f ca="1">ROUNDDOWN(G20/G21,0)</f>
        <v>15</v>
      </c>
      <c r="I17" s="218" t="s">
        <v>6</v>
      </c>
      <c r="L17" s="288"/>
      <c r="O17" s="185" t="s">
        <v>7</v>
      </c>
      <c r="R17" s="219">
        <f ca="1">MAX(G27:G29)</f>
        <v>3367662.1987496</v>
      </c>
      <c r="T17" s="278" t="s">
        <v>87</v>
      </c>
      <c r="U17" s="410">
        <f ca="1">G4</f>
        <v>54216.891381248446</v>
      </c>
      <c r="W17" s="185" t="s">
        <v>100</v>
      </c>
    </row>
    <row r="18" spans="2:23" s="185" customFormat="1">
      <c r="B18" s="185" t="s">
        <v>8</v>
      </c>
      <c r="F18" s="220"/>
      <c r="G18" s="392">
        <f ca="1">Assumptions!P8</f>
        <v>20488.649999999998</v>
      </c>
      <c r="I18" s="325" t="s">
        <v>50</v>
      </c>
      <c r="L18" s="276"/>
      <c r="M18" s="424">
        <v>978</v>
      </c>
      <c r="O18" s="185" t="s">
        <v>10</v>
      </c>
      <c r="R18" s="222">
        <v>4.4999999999999998E-2</v>
      </c>
      <c r="T18" s="278" t="s">
        <v>88</v>
      </c>
      <c r="U18" s="410">
        <f ca="1">G12-G4</f>
        <v>5126801.8759258278</v>
      </c>
      <c r="W18" s="185" t="s">
        <v>101</v>
      </c>
    </row>
    <row r="19" spans="2:23" s="185" customFormat="1">
      <c r="B19" s="185" t="s">
        <v>11</v>
      </c>
      <c r="G19" s="289">
        <v>0.9</v>
      </c>
      <c r="I19" s="325" t="s">
        <v>444</v>
      </c>
      <c r="L19" s="276"/>
      <c r="M19" s="424">
        <v>1314</v>
      </c>
      <c r="O19" s="185" t="s">
        <v>13</v>
      </c>
      <c r="R19" s="224">
        <v>30</v>
      </c>
      <c r="T19" s="278" t="s">
        <v>89</v>
      </c>
      <c r="U19" s="281" t="s">
        <v>85</v>
      </c>
    </row>
    <row r="20" spans="2:23" s="185" customFormat="1">
      <c r="B20" s="185" t="s">
        <v>14</v>
      </c>
      <c r="G20" s="225">
        <f ca="1">G18*G19</f>
        <v>18439.785</v>
      </c>
      <c r="I20" s="185" t="s">
        <v>18</v>
      </c>
      <c r="M20" s="223">
        <v>0.02</v>
      </c>
      <c r="O20" s="185" t="s">
        <v>16</v>
      </c>
      <c r="R20" s="219">
        <f ca="1">PMT(R18/12,R19*12,R17)</f>
        <v>-17063.449645623477</v>
      </c>
      <c r="S20" s="258"/>
      <c r="T20" s="278" t="s">
        <v>90</v>
      </c>
      <c r="U20" s="282">
        <f>IF(U19="Y", 30%, 0%)</f>
        <v>0.3</v>
      </c>
    </row>
    <row r="21" spans="2:23" s="185" customFormat="1">
      <c r="B21" s="185" t="s">
        <v>17</v>
      </c>
      <c r="G21" s="290">
        <v>1200</v>
      </c>
      <c r="I21" s="185" t="s">
        <v>20</v>
      </c>
      <c r="M21" s="223">
        <v>0.03</v>
      </c>
      <c r="T21" s="278" t="s">
        <v>91</v>
      </c>
      <c r="U21" s="283">
        <f ca="1">U17+(U18*(100%+U20))</f>
        <v>6719059.3300848249</v>
      </c>
    </row>
    <row r="22" spans="2:23" s="185" customFormat="1">
      <c r="B22" s="325" t="s">
        <v>25</v>
      </c>
      <c r="G22" s="289">
        <v>0.7</v>
      </c>
      <c r="I22" s="185" t="s">
        <v>23</v>
      </c>
      <c r="M22" s="291">
        <v>6</v>
      </c>
      <c r="O22" s="185" t="s">
        <v>21</v>
      </c>
      <c r="R22" s="220">
        <v>0.65</v>
      </c>
      <c r="T22" s="278" t="s">
        <v>92</v>
      </c>
      <c r="U22" s="412">
        <v>0.04</v>
      </c>
    </row>
    <row r="23" spans="2:23" s="185" customFormat="1">
      <c r="B23" s="325" t="s">
        <v>443</v>
      </c>
      <c r="G23" s="289">
        <v>0.3</v>
      </c>
      <c r="I23" s="185" t="s">
        <v>26</v>
      </c>
      <c r="M23" s="230">
        <f ca="1">G17/M22</f>
        <v>2.5</v>
      </c>
      <c r="O23" s="185" t="s">
        <v>24</v>
      </c>
      <c r="R23" s="229">
        <v>1.2</v>
      </c>
      <c r="T23" s="278" t="s">
        <v>93</v>
      </c>
      <c r="U23" s="283">
        <f ca="1">U21*U22*U16</f>
        <v>80628.711961017907</v>
      </c>
    </row>
    <row r="24" spans="2:23" s="185" customFormat="1">
      <c r="B24" s="185" t="s">
        <v>28</v>
      </c>
      <c r="G24" s="232">
        <f ca="1">G17/1.5</f>
        <v>10</v>
      </c>
      <c r="I24" s="185" t="s">
        <v>29</v>
      </c>
      <c r="M24" s="292">
        <v>0.25</v>
      </c>
      <c r="O24" s="185" t="s">
        <v>27</v>
      </c>
      <c r="R24" s="220">
        <v>0.08</v>
      </c>
      <c r="T24" s="278" t="s">
        <v>94</v>
      </c>
      <c r="U24" s="283">
        <f ca="1">U23*10</f>
        <v>806287.1196101791</v>
      </c>
    </row>
    <row r="25" spans="2:23" s="185" customFormat="1">
      <c r="G25" s="234"/>
      <c r="I25" s="185" t="s">
        <v>30</v>
      </c>
      <c r="M25" s="223">
        <v>0.02</v>
      </c>
      <c r="R25" s="220"/>
      <c r="T25" s="278" t="s">
        <v>95</v>
      </c>
      <c r="U25" s="283">
        <f ca="1">U24*99.99%</f>
        <v>806206.49089821801</v>
      </c>
    </row>
    <row r="26" spans="2:23" s="185" customFormat="1">
      <c r="B26" s="216" t="s">
        <v>38</v>
      </c>
      <c r="C26" s="216"/>
      <c r="D26" s="216"/>
      <c r="E26" s="216"/>
      <c r="F26" s="216"/>
      <c r="G26" s="216"/>
      <c r="I26" s="185" t="s">
        <v>31</v>
      </c>
      <c r="L26" s="276">
        <v>0.32</v>
      </c>
      <c r="M26" s="393">
        <f>1.7529/100</f>
        <v>1.7528999999999999E-2</v>
      </c>
      <c r="R26" s="221"/>
      <c r="T26" s="278" t="s">
        <v>96</v>
      </c>
      <c r="U26" s="284">
        <v>0.98</v>
      </c>
    </row>
    <row r="27" spans="2:23" s="185" customFormat="1">
      <c r="B27" s="185" t="s">
        <v>21</v>
      </c>
      <c r="G27" s="242">
        <f ca="1">R22*R34</f>
        <v>3367662.1987496</v>
      </c>
      <c r="I27" s="185" t="s">
        <v>33</v>
      </c>
      <c r="M27" s="223">
        <v>0.02</v>
      </c>
      <c r="O27" s="423" t="s">
        <v>32</v>
      </c>
      <c r="P27" s="423"/>
      <c r="Q27" s="423"/>
      <c r="R27" s="423"/>
      <c r="T27" s="278" t="s">
        <v>97</v>
      </c>
      <c r="U27" s="283">
        <f ca="1">IF(U15="Y",U25*U26, 0)</f>
        <v>790082.36108025361</v>
      </c>
    </row>
    <row r="28" spans="2:23" s="185" customFormat="1">
      <c r="B28" s="185" t="s">
        <v>24</v>
      </c>
      <c r="G28" s="219">
        <f ca="1">H62/R24</f>
        <v>1057074.2706114969</v>
      </c>
      <c r="I28" s="185" t="s">
        <v>35</v>
      </c>
      <c r="K28" s="237"/>
      <c r="L28" s="276">
        <v>0.5</v>
      </c>
      <c r="M28" s="242">
        <f>L28*'Phase I - CF MF Market Rental'!M29</f>
        <v>500</v>
      </c>
      <c r="O28" s="185" t="s">
        <v>34</v>
      </c>
      <c r="Q28" s="236">
        <f ca="1">R28/$R$31</f>
        <v>0.20544994006103001</v>
      </c>
      <c r="R28" s="219">
        <f ca="1">R36-R30-R29</f>
        <v>1075084.3951502936</v>
      </c>
      <c r="T28" s="187"/>
    </row>
    <row r="29" spans="2:23" s="185" customFormat="1">
      <c r="B29" s="185" t="s">
        <v>27</v>
      </c>
      <c r="G29" s="219">
        <f ca="1">PV(R18/12,R19*12,-H62/R23/12,0)</f>
        <v>1159030.0178129452</v>
      </c>
      <c r="I29" s="185" t="s">
        <v>36</v>
      </c>
      <c r="K29" s="237"/>
      <c r="M29" s="220">
        <v>0.1</v>
      </c>
      <c r="O29" s="185" t="s">
        <v>98</v>
      </c>
      <c r="Q29" s="236">
        <f t="shared" ref="Q29:Q30" ca="1" si="0">R29/$R$31</f>
        <v>0.15098570350332635</v>
      </c>
      <c r="R29" s="219">
        <f ca="1">U27</f>
        <v>790082.36108025361</v>
      </c>
      <c r="T29" s="187"/>
    </row>
    <row r="30" spans="2:23" s="185" customFormat="1" ht="16" thickBot="1">
      <c r="I30" s="185" t="s">
        <v>39</v>
      </c>
      <c r="K30" s="237"/>
      <c r="M30" s="224">
        <v>9</v>
      </c>
      <c r="O30" s="238" t="s">
        <v>7</v>
      </c>
      <c r="P30" s="238"/>
      <c r="Q30" s="236">
        <f t="shared" ca="1" si="0"/>
        <v>0.64356435643564369</v>
      </c>
      <c r="R30" s="240">
        <f ca="1">R17</f>
        <v>3367662.1987496</v>
      </c>
      <c r="T30" s="187"/>
    </row>
    <row r="31" spans="2:23" s="185" customFormat="1" ht="16" thickBot="1">
      <c r="G31" s="241"/>
      <c r="I31" s="185" t="s">
        <v>40</v>
      </c>
      <c r="K31" s="237"/>
      <c r="M31" s="220">
        <v>7.4999999999999997E-2</v>
      </c>
      <c r="O31" s="185" t="s">
        <v>37</v>
      </c>
      <c r="Q31" s="293">
        <f ca="1">SUM(Q28:Q30)</f>
        <v>1</v>
      </c>
      <c r="R31" s="219">
        <f ca="1">SUM(R28:R30)</f>
        <v>5232828.9549801471</v>
      </c>
      <c r="S31" s="294">
        <f ca="1">R36-SUM(R28:R30)</f>
        <v>0</v>
      </c>
      <c r="T31" s="185" t="s">
        <v>99</v>
      </c>
    </row>
    <row r="32" spans="2:23" s="185" customFormat="1">
      <c r="I32" s="185" t="s">
        <v>42</v>
      </c>
      <c r="M32" s="222">
        <v>5.2499999999999998E-2</v>
      </c>
      <c r="T32" s="187"/>
    </row>
    <row r="33" spans="1:24">
      <c r="O33" s="423" t="s">
        <v>41</v>
      </c>
      <c r="P33" s="423"/>
      <c r="Q33" s="423"/>
      <c r="R33" s="423"/>
    </row>
    <row r="34" spans="1:24">
      <c r="O34" s="185" t="s">
        <v>43</v>
      </c>
      <c r="R34" s="402">
        <f ca="1">G12</f>
        <v>5181018.7673070766</v>
      </c>
    </row>
    <row r="35" spans="1:24">
      <c r="O35" s="238" t="s">
        <v>44</v>
      </c>
      <c r="P35" s="238"/>
      <c r="Q35" s="310">
        <v>0.01</v>
      </c>
      <c r="R35" s="240">
        <f ca="1">R34*Q35</f>
        <v>51810.187673070766</v>
      </c>
    </row>
    <row r="36" spans="1:24">
      <c r="O36" s="185" t="s">
        <v>45</v>
      </c>
      <c r="R36" s="219">
        <f ca="1">SUM(R34:R35)</f>
        <v>5232828.9549801471</v>
      </c>
    </row>
    <row r="38" spans="1:24">
      <c r="A38" s="185" t="s">
        <v>1</v>
      </c>
      <c r="B38" s="216" t="s">
        <v>46</v>
      </c>
      <c r="C38" s="216"/>
      <c r="D38" s="216"/>
      <c r="E38" s="216"/>
      <c r="F38" s="243"/>
      <c r="G38" s="243">
        <f>F38+1</f>
        <v>1</v>
      </c>
      <c r="H38" s="243">
        <f>G38+1</f>
        <v>2</v>
      </c>
      <c r="I38" s="243">
        <f t="shared" ref="I38:R38" si="1">H38+1</f>
        <v>3</v>
      </c>
      <c r="J38" s="243">
        <f t="shared" si="1"/>
        <v>4</v>
      </c>
      <c r="K38" s="243">
        <f t="shared" si="1"/>
        <v>5</v>
      </c>
      <c r="L38" s="243">
        <f t="shared" si="1"/>
        <v>6</v>
      </c>
      <c r="M38" s="243">
        <f t="shared" si="1"/>
        <v>7</v>
      </c>
      <c r="N38" s="243">
        <f t="shared" si="1"/>
        <v>8</v>
      </c>
      <c r="O38" s="243">
        <f t="shared" si="1"/>
        <v>9</v>
      </c>
      <c r="P38" s="243">
        <f t="shared" si="1"/>
        <v>10</v>
      </c>
      <c r="Q38" s="243">
        <f t="shared" si="1"/>
        <v>11</v>
      </c>
      <c r="R38" s="243">
        <f t="shared" si="1"/>
        <v>12</v>
      </c>
    </row>
    <row r="39" spans="1:24">
      <c r="B39" s="218" t="s">
        <v>47</v>
      </c>
    </row>
    <row r="40" spans="1:24">
      <c r="B40" s="325" t="s">
        <v>50</v>
      </c>
      <c r="G40" s="219">
        <f t="shared" ref="G40:R40" ca="1" si="2">IF(G38&gt;=$M$22,$M$18*$M$23*$G$22*($L$38),$M$18*$G$22*(G$38*$M$23))</f>
        <v>1711.4999999999998</v>
      </c>
      <c r="H40" s="219">
        <f t="shared" ca="1" si="2"/>
        <v>3422.9999999999995</v>
      </c>
      <c r="I40" s="219">
        <f t="shared" ca="1" si="2"/>
        <v>5134.4999999999991</v>
      </c>
      <c r="J40" s="219">
        <f t="shared" ca="1" si="2"/>
        <v>6845.9999999999991</v>
      </c>
      <c r="K40" s="219">
        <f t="shared" ca="1" si="2"/>
        <v>8557.4999999999982</v>
      </c>
      <c r="L40" s="219">
        <f t="shared" ca="1" si="2"/>
        <v>10269</v>
      </c>
      <c r="M40" s="219">
        <f t="shared" ca="1" si="2"/>
        <v>10269</v>
      </c>
      <c r="N40" s="219">
        <f t="shared" ca="1" si="2"/>
        <v>10269</v>
      </c>
      <c r="O40" s="219">
        <f t="shared" ca="1" si="2"/>
        <v>10269</v>
      </c>
      <c r="P40" s="219">
        <f t="shared" ca="1" si="2"/>
        <v>10269</v>
      </c>
      <c r="Q40" s="219">
        <f t="shared" ca="1" si="2"/>
        <v>10269</v>
      </c>
      <c r="R40" s="219">
        <f t="shared" ca="1" si="2"/>
        <v>10269</v>
      </c>
    </row>
    <row r="41" spans="1:24">
      <c r="B41" s="325" t="s">
        <v>444</v>
      </c>
      <c r="G41" s="219">
        <f t="shared" ref="G41:R41" ca="1" si="3">IF(G38&gt;=$M$22,$M$19*$M$23*$G$23*($L$38),$M$19*$G$23*(G$38*$M$23))</f>
        <v>985.5</v>
      </c>
      <c r="H41" s="219">
        <f t="shared" ca="1" si="3"/>
        <v>1971</v>
      </c>
      <c r="I41" s="219">
        <f t="shared" ca="1" si="3"/>
        <v>2956.5</v>
      </c>
      <c r="J41" s="219">
        <f t="shared" ca="1" si="3"/>
        <v>3942</v>
      </c>
      <c r="K41" s="219">
        <f t="shared" ca="1" si="3"/>
        <v>4927.5</v>
      </c>
      <c r="L41" s="219">
        <f t="shared" ca="1" si="3"/>
        <v>5913</v>
      </c>
      <c r="M41" s="219">
        <f t="shared" ca="1" si="3"/>
        <v>5913</v>
      </c>
      <c r="N41" s="219">
        <f t="shared" ca="1" si="3"/>
        <v>5913</v>
      </c>
      <c r="O41" s="219">
        <f t="shared" ca="1" si="3"/>
        <v>5913</v>
      </c>
      <c r="P41" s="219">
        <f t="shared" ca="1" si="3"/>
        <v>5913</v>
      </c>
      <c r="Q41" s="219">
        <f t="shared" ca="1" si="3"/>
        <v>5913</v>
      </c>
      <c r="R41" s="219">
        <f t="shared" ca="1" si="3"/>
        <v>5913</v>
      </c>
    </row>
    <row r="42" spans="1:24">
      <c r="B42" s="244" t="s">
        <v>37</v>
      </c>
      <c r="C42" s="244"/>
      <c r="D42" s="244"/>
      <c r="E42" s="244"/>
      <c r="F42" s="244"/>
      <c r="G42" s="245">
        <f t="shared" ref="G42:R42" ca="1" si="4">SUM(G40:G41)</f>
        <v>2697</v>
      </c>
      <c r="H42" s="245">
        <f t="shared" ca="1" si="4"/>
        <v>5394</v>
      </c>
      <c r="I42" s="245">
        <f t="shared" ca="1" si="4"/>
        <v>8090.9999999999991</v>
      </c>
      <c r="J42" s="245">
        <f t="shared" ca="1" si="4"/>
        <v>10788</v>
      </c>
      <c r="K42" s="245">
        <f t="shared" ca="1" si="4"/>
        <v>13484.999999999998</v>
      </c>
      <c r="L42" s="245">
        <f t="shared" ca="1" si="4"/>
        <v>16182</v>
      </c>
      <c r="M42" s="245">
        <f t="shared" ca="1" si="4"/>
        <v>16182</v>
      </c>
      <c r="N42" s="245">
        <f t="shared" ca="1" si="4"/>
        <v>16182</v>
      </c>
      <c r="O42" s="245">
        <f t="shared" ca="1" si="4"/>
        <v>16182</v>
      </c>
      <c r="P42" s="245">
        <f t="shared" ca="1" si="4"/>
        <v>16182</v>
      </c>
      <c r="Q42" s="245">
        <f t="shared" ca="1" si="4"/>
        <v>16182</v>
      </c>
      <c r="R42" s="245">
        <f t="shared" ca="1" si="4"/>
        <v>16182</v>
      </c>
    </row>
    <row r="44" spans="1:24">
      <c r="A44" s="185" t="s">
        <v>1</v>
      </c>
      <c r="B44" s="216" t="s">
        <v>51</v>
      </c>
      <c r="C44" s="216"/>
      <c r="D44" s="216"/>
      <c r="E44" s="216"/>
      <c r="F44" s="216"/>
      <c r="G44" s="246">
        <v>0</v>
      </c>
      <c r="H44" s="246">
        <f>G44+1</f>
        <v>1</v>
      </c>
      <c r="I44" s="246">
        <f t="shared" ref="I44:R44" si="5">H44+1</f>
        <v>2</v>
      </c>
      <c r="J44" s="246">
        <f t="shared" si="5"/>
        <v>3</v>
      </c>
      <c r="K44" s="246">
        <f t="shared" si="5"/>
        <v>4</v>
      </c>
      <c r="L44" s="246">
        <f t="shared" si="5"/>
        <v>5</v>
      </c>
      <c r="M44" s="246">
        <f t="shared" si="5"/>
        <v>6</v>
      </c>
      <c r="N44" s="246">
        <f t="shared" si="5"/>
        <v>7</v>
      </c>
      <c r="O44" s="246">
        <f t="shared" si="5"/>
        <v>8</v>
      </c>
      <c r="P44" s="246">
        <f t="shared" si="5"/>
        <v>9</v>
      </c>
      <c r="Q44" s="246">
        <f t="shared" si="5"/>
        <v>10</v>
      </c>
      <c r="R44" s="246">
        <f t="shared" si="5"/>
        <v>11</v>
      </c>
      <c r="S44" s="246"/>
      <c r="T44" s="295"/>
      <c r="U44" s="246"/>
      <c r="V44" s="246"/>
      <c r="W44" s="246"/>
      <c r="X44" s="246"/>
    </row>
    <row r="45" spans="1:24">
      <c r="B45" s="247" t="s">
        <v>52</v>
      </c>
      <c r="C45" s="247"/>
      <c r="D45" s="247"/>
      <c r="E45" s="247"/>
      <c r="F45" s="247"/>
      <c r="G45" s="247"/>
      <c r="H45" s="248">
        <f t="shared" ref="H45:R45" si="6">1-$M$20</f>
        <v>0.98</v>
      </c>
      <c r="I45" s="248">
        <f t="shared" si="6"/>
        <v>0.98</v>
      </c>
      <c r="J45" s="248">
        <f t="shared" si="6"/>
        <v>0.98</v>
      </c>
      <c r="K45" s="248">
        <f t="shared" si="6"/>
        <v>0.98</v>
      </c>
      <c r="L45" s="248">
        <f t="shared" si="6"/>
        <v>0.98</v>
      </c>
      <c r="M45" s="248">
        <f t="shared" si="6"/>
        <v>0.98</v>
      </c>
      <c r="N45" s="248">
        <f t="shared" si="6"/>
        <v>0.98</v>
      </c>
      <c r="O45" s="248">
        <f t="shared" si="6"/>
        <v>0.98</v>
      </c>
      <c r="P45" s="248">
        <f t="shared" si="6"/>
        <v>0.98</v>
      </c>
      <c r="Q45" s="248">
        <f t="shared" si="6"/>
        <v>0.98</v>
      </c>
      <c r="R45" s="248">
        <f t="shared" si="6"/>
        <v>0.98</v>
      </c>
      <c r="S45" s="248"/>
      <c r="T45" s="296"/>
      <c r="U45" s="248"/>
      <c r="V45" s="248"/>
      <c r="W45" s="248"/>
      <c r="X45" s="248"/>
    </row>
    <row r="46" spans="1:24"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188"/>
      <c r="U46" s="236"/>
      <c r="V46" s="236"/>
      <c r="W46" s="236"/>
      <c r="X46" s="236"/>
    </row>
    <row r="47" spans="1:24">
      <c r="B47" s="185" t="s">
        <v>43</v>
      </c>
      <c r="G47" s="219">
        <f ca="1">-R36</f>
        <v>-5232828.9549801471</v>
      </c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188"/>
      <c r="U47" s="236"/>
      <c r="V47" s="236"/>
      <c r="W47" s="236"/>
      <c r="X47" s="236"/>
    </row>
    <row r="49" spans="2:24">
      <c r="B49" s="247" t="s">
        <v>53</v>
      </c>
      <c r="G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189"/>
      <c r="U49" s="219"/>
      <c r="V49" s="219"/>
      <c r="W49" s="219"/>
      <c r="X49" s="219"/>
    </row>
    <row r="50" spans="2:24">
      <c r="B50" s="185" t="s">
        <v>55</v>
      </c>
      <c r="G50" s="219"/>
      <c r="H50" s="219">
        <f ca="1">SUM(G40:R40)</f>
        <v>97555.5</v>
      </c>
      <c r="I50" s="219">
        <f t="shared" ref="I50:R50" ca="1" si="7">$G$17*$G$22*$M$18*(1+$M$21)^H44*12</f>
        <v>126924.84</v>
      </c>
      <c r="J50" s="219">
        <f t="shared" ca="1" si="7"/>
        <v>130732.58519999999</v>
      </c>
      <c r="K50" s="219">
        <f t="shared" ca="1" si="7"/>
        <v>134654.562756</v>
      </c>
      <c r="L50" s="219">
        <f t="shared" ca="1" si="7"/>
        <v>138694.19963868</v>
      </c>
      <c r="M50" s="219">
        <f t="shared" ca="1" si="7"/>
        <v>142855.0256278404</v>
      </c>
      <c r="N50" s="219">
        <f t="shared" ca="1" si="7"/>
        <v>147140.67639667558</v>
      </c>
      <c r="O50" s="219">
        <f t="shared" ca="1" si="7"/>
        <v>151554.89668857589</v>
      </c>
      <c r="P50" s="219">
        <f t="shared" ca="1" si="7"/>
        <v>156101.54358923313</v>
      </c>
      <c r="Q50" s="219">
        <f t="shared" ca="1" si="7"/>
        <v>160784.58989691013</v>
      </c>
      <c r="R50" s="219">
        <f t="shared" ca="1" si="7"/>
        <v>165608.12759381745</v>
      </c>
      <c r="S50" s="219"/>
      <c r="T50" s="189"/>
      <c r="U50" s="219"/>
      <c r="V50" s="219"/>
      <c r="W50" s="219"/>
      <c r="X50" s="219"/>
    </row>
    <row r="51" spans="2:24">
      <c r="B51" s="185" t="s">
        <v>56</v>
      </c>
      <c r="G51" s="219"/>
      <c r="H51" s="219">
        <f ca="1">SUM(G41:R41)</f>
        <v>56173.5</v>
      </c>
      <c r="I51" s="219">
        <f t="shared" ref="I51:R51" ca="1" si="8">$G$17*$G$23*$M$19*(1+$M$21)^H44*12</f>
        <v>73084.680000000008</v>
      </c>
      <c r="J51" s="219">
        <f t="shared" ca="1" si="8"/>
        <v>75277.220400000006</v>
      </c>
      <c r="K51" s="219">
        <f t="shared" ca="1" si="8"/>
        <v>77535.537012000001</v>
      </c>
      <c r="L51" s="219">
        <f t="shared" ca="1" si="8"/>
        <v>79861.603122359986</v>
      </c>
      <c r="M51" s="219">
        <f t="shared" ca="1" si="8"/>
        <v>82257.451216030793</v>
      </c>
      <c r="N51" s="219">
        <f t="shared" ca="1" si="8"/>
        <v>84725.174752511724</v>
      </c>
      <c r="O51" s="219">
        <f t="shared" ca="1" si="8"/>
        <v>87266.929995087077</v>
      </c>
      <c r="P51" s="219">
        <f t="shared" ca="1" si="8"/>
        <v>89884.937894939678</v>
      </c>
      <c r="Q51" s="219">
        <f t="shared" ca="1" si="8"/>
        <v>92581.486031787877</v>
      </c>
      <c r="R51" s="219">
        <f t="shared" ca="1" si="8"/>
        <v>95358.930612741504</v>
      </c>
      <c r="S51" s="219"/>
      <c r="T51" s="189"/>
      <c r="U51" s="219"/>
      <c r="V51" s="219"/>
      <c r="W51" s="219"/>
      <c r="X51" s="184"/>
    </row>
    <row r="52" spans="2:24">
      <c r="B52" s="247" t="s">
        <v>57</v>
      </c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189"/>
      <c r="U52" s="219"/>
      <c r="V52" s="219"/>
      <c r="W52" s="219"/>
      <c r="X52" s="184"/>
    </row>
    <row r="53" spans="2:24">
      <c r="B53" s="185" t="s">
        <v>58</v>
      </c>
      <c r="G53" s="219"/>
      <c r="H53" s="219">
        <f t="shared" ref="H53:R53" ca="1" si="9">$G$24*$M$28*(1+$M$21)^G44</f>
        <v>5000</v>
      </c>
      <c r="I53" s="219">
        <f t="shared" ca="1" si="9"/>
        <v>5150</v>
      </c>
      <c r="J53" s="219">
        <f t="shared" ca="1" si="9"/>
        <v>5304.5</v>
      </c>
      <c r="K53" s="219">
        <f t="shared" ca="1" si="9"/>
        <v>5463.6350000000002</v>
      </c>
      <c r="L53" s="219">
        <f t="shared" ca="1" si="9"/>
        <v>5627.5440499999995</v>
      </c>
      <c r="M53" s="219">
        <f t="shared" ca="1" si="9"/>
        <v>5796.3703714999992</v>
      </c>
      <c r="N53" s="219">
        <f t="shared" ca="1" si="9"/>
        <v>5970.2614826449999</v>
      </c>
      <c r="O53" s="219">
        <f t="shared" ca="1" si="9"/>
        <v>6149.3693271243501</v>
      </c>
      <c r="P53" s="219">
        <f t="shared" ca="1" si="9"/>
        <v>6333.8504069380797</v>
      </c>
      <c r="Q53" s="219">
        <f t="shared" ca="1" si="9"/>
        <v>6523.865919146222</v>
      </c>
      <c r="R53" s="219">
        <f t="shared" ca="1" si="9"/>
        <v>6719.5818967206087</v>
      </c>
      <c r="S53" s="219"/>
      <c r="T53" s="189"/>
      <c r="U53" s="219"/>
      <c r="V53" s="219"/>
      <c r="W53" s="219"/>
      <c r="X53" s="184"/>
    </row>
    <row r="54" spans="2:24">
      <c r="B54" s="244" t="s">
        <v>59</v>
      </c>
      <c r="C54" s="244"/>
      <c r="D54" s="244"/>
      <c r="E54" s="244"/>
      <c r="F54" s="244"/>
      <c r="G54" s="245"/>
      <c r="H54" s="245">
        <f t="shared" ref="H54:R54" ca="1" si="10">SUM(H48:H53)</f>
        <v>158729</v>
      </c>
      <c r="I54" s="245">
        <f t="shared" ca="1" si="10"/>
        <v>205159.52000000002</v>
      </c>
      <c r="J54" s="245">
        <f t="shared" ca="1" si="10"/>
        <v>211314.30559999999</v>
      </c>
      <c r="K54" s="245">
        <f t="shared" ca="1" si="10"/>
        <v>217653.73476800002</v>
      </c>
      <c r="L54" s="245">
        <f t="shared" ca="1" si="10"/>
        <v>224183.34681103998</v>
      </c>
      <c r="M54" s="245">
        <f t="shared" ca="1" si="10"/>
        <v>230908.84721537118</v>
      </c>
      <c r="N54" s="245">
        <f t="shared" ca="1" si="10"/>
        <v>237836.11263183231</v>
      </c>
      <c r="O54" s="245">
        <f t="shared" ca="1" si="10"/>
        <v>244971.1960107873</v>
      </c>
      <c r="P54" s="245">
        <f t="shared" ca="1" si="10"/>
        <v>252320.33189111089</v>
      </c>
      <c r="Q54" s="245">
        <f t="shared" ca="1" si="10"/>
        <v>259889.94184784422</v>
      </c>
      <c r="R54" s="245">
        <f t="shared" ca="1" si="10"/>
        <v>267686.64010327955</v>
      </c>
      <c r="S54" s="245"/>
      <c r="T54" s="297"/>
      <c r="U54" s="245"/>
      <c r="V54" s="245"/>
      <c r="W54" s="245"/>
      <c r="X54" s="184"/>
    </row>
    <row r="55" spans="2:24"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189"/>
      <c r="U55" s="219"/>
      <c r="V55" s="219"/>
      <c r="W55" s="219"/>
      <c r="X55" s="184"/>
    </row>
    <row r="56" spans="2:24">
      <c r="B56" s="238" t="s">
        <v>60</v>
      </c>
      <c r="C56" s="238"/>
      <c r="D56" s="238"/>
      <c r="E56" s="238"/>
      <c r="F56" s="238"/>
      <c r="G56" s="238"/>
      <c r="H56" s="240">
        <f t="shared" ref="H56:R56" ca="1" si="11">-(1-H45)*SUM(H50:H51)</f>
        <v>-3074.5800000000027</v>
      </c>
      <c r="I56" s="240">
        <f t="shared" ca="1" si="11"/>
        <v>-4000.190400000004</v>
      </c>
      <c r="J56" s="240">
        <f t="shared" ca="1" si="11"/>
        <v>-4120.1961120000033</v>
      </c>
      <c r="K56" s="240">
        <f t="shared" ca="1" si="11"/>
        <v>-4243.8019953600042</v>
      </c>
      <c r="L56" s="240">
        <f t="shared" ca="1" si="11"/>
        <v>-4371.1160552208039</v>
      </c>
      <c r="M56" s="240">
        <f t="shared" ca="1" si="11"/>
        <v>-4502.2495368774271</v>
      </c>
      <c r="N56" s="240">
        <f t="shared" ca="1" si="11"/>
        <v>-4637.3170229837506</v>
      </c>
      <c r="O56" s="240">
        <f t="shared" ca="1" si="11"/>
        <v>-4776.4365336732635</v>
      </c>
      <c r="P56" s="240">
        <f t="shared" ca="1" si="11"/>
        <v>-4919.7296296834602</v>
      </c>
      <c r="Q56" s="240">
        <f t="shared" ca="1" si="11"/>
        <v>-5067.3215185739646</v>
      </c>
      <c r="R56" s="240">
        <f t="shared" ca="1" si="11"/>
        <v>-5219.3411641311841</v>
      </c>
      <c r="S56" s="240"/>
      <c r="T56" s="298"/>
      <c r="U56" s="240"/>
      <c r="V56" s="240"/>
      <c r="W56" s="240"/>
      <c r="X56" s="184"/>
    </row>
    <row r="57" spans="2:24">
      <c r="B57" s="185" t="s">
        <v>61</v>
      </c>
      <c r="H57" s="219">
        <f ca="1">SUM(H54:H56)</f>
        <v>155654.41999999998</v>
      </c>
      <c r="I57" s="219">
        <f t="shared" ref="I57:R57" ca="1" si="12">SUM(I54:I56)</f>
        <v>201159.32960000003</v>
      </c>
      <c r="J57" s="219">
        <f t="shared" ca="1" si="12"/>
        <v>207194.10948799999</v>
      </c>
      <c r="K57" s="219">
        <f t="shared" ca="1" si="12"/>
        <v>213409.93277264002</v>
      </c>
      <c r="L57" s="219">
        <f t="shared" ca="1" si="12"/>
        <v>219812.23075581918</v>
      </c>
      <c r="M57" s="219">
        <f t="shared" ca="1" si="12"/>
        <v>226406.59767849374</v>
      </c>
      <c r="N57" s="219">
        <f t="shared" ca="1" si="12"/>
        <v>233198.79560884857</v>
      </c>
      <c r="O57" s="219">
        <f t="shared" ca="1" si="12"/>
        <v>240194.75947711404</v>
      </c>
      <c r="P57" s="219">
        <f t="shared" ca="1" si="12"/>
        <v>247400.60226142744</v>
      </c>
      <c r="Q57" s="219">
        <f t="shared" ca="1" si="12"/>
        <v>254822.62032927026</v>
      </c>
      <c r="R57" s="219">
        <f t="shared" ca="1" si="12"/>
        <v>262467.29893914837</v>
      </c>
      <c r="S57" s="219"/>
      <c r="T57" s="189"/>
      <c r="U57" s="219"/>
      <c r="V57" s="219"/>
      <c r="W57" s="219"/>
      <c r="X57" s="184"/>
    </row>
    <row r="58" spans="2:24">
      <c r="X58" s="184"/>
    </row>
    <row r="59" spans="2:24">
      <c r="B59" s="185" t="s">
        <v>62</v>
      </c>
      <c r="H59" s="219">
        <f t="shared" ref="H59:R59" ca="1" si="13">-($M$24*H57)*(1+$M$25)^G44</f>
        <v>-38913.604999999996</v>
      </c>
      <c r="I59" s="219">
        <f t="shared" ca="1" si="13"/>
        <v>-51295.62904800001</v>
      </c>
      <c r="J59" s="219">
        <f t="shared" ca="1" si="13"/>
        <v>-53891.187877828794</v>
      </c>
      <c r="K59" s="219">
        <f t="shared" ca="1" si="13"/>
        <v>-56618.081984446937</v>
      </c>
      <c r="L59" s="219">
        <f t="shared" ca="1" si="13"/>
        <v>-59482.956932859946</v>
      </c>
      <c r="M59" s="219">
        <f t="shared" ca="1" si="13"/>
        <v>-62492.794553662658</v>
      </c>
      <c r="N59" s="219">
        <f t="shared" ca="1" si="13"/>
        <v>-65654.929958077992</v>
      </c>
      <c r="O59" s="219">
        <f t="shared" ca="1" si="13"/>
        <v>-68977.069413956735</v>
      </c>
      <c r="P59" s="219">
        <f t="shared" ca="1" si="13"/>
        <v>-72467.309126302935</v>
      </c>
      <c r="Q59" s="219">
        <f t="shared" ca="1" si="13"/>
        <v>-76134.154968093862</v>
      </c>
      <c r="R59" s="219">
        <f t="shared" ca="1" si="13"/>
        <v>-79986.543209479423</v>
      </c>
      <c r="S59" s="219"/>
      <c r="T59" s="189"/>
      <c r="U59" s="219"/>
      <c r="V59" s="219"/>
      <c r="W59" s="219"/>
      <c r="X59" s="184"/>
    </row>
    <row r="60" spans="2:24">
      <c r="B60" s="185" t="s">
        <v>31</v>
      </c>
      <c r="H60" s="219">
        <f ca="1">-$G$12*$L$26*$M$26*(1+$M$25)^G44</f>
        <v>-29061.784951080237</v>
      </c>
      <c r="I60" s="219">
        <f ca="1">-$G$12*$L$26*$M$26*(1+$M$25)^H44</f>
        <v>-29643.020650101844</v>
      </c>
      <c r="J60" s="219">
        <f t="shared" ref="J60:R60" ca="1" si="14">-$G$12*$L$26*$M$26*(1+$M$25)^I44</f>
        <v>-30235.88106310388</v>
      </c>
      <c r="K60" s="219">
        <f t="shared" ca="1" si="14"/>
        <v>-30840.598684365956</v>
      </c>
      <c r="L60" s="219">
        <f t="shared" ca="1" si="14"/>
        <v>-31457.410658053275</v>
      </c>
      <c r="M60" s="219">
        <f t="shared" ca="1" si="14"/>
        <v>-32086.55887121434</v>
      </c>
      <c r="N60" s="219">
        <f t="shared" ca="1" si="14"/>
        <v>-32728.290048638628</v>
      </c>
      <c r="O60" s="219">
        <f t="shared" ca="1" si="14"/>
        <v>-33382.855849611398</v>
      </c>
      <c r="P60" s="219">
        <f t="shared" ca="1" si="14"/>
        <v>-34050.512966603623</v>
      </c>
      <c r="Q60" s="219">
        <f t="shared" ca="1" si="14"/>
        <v>-34731.5232259357</v>
      </c>
      <c r="R60" s="219">
        <f t="shared" ca="1" si="14"/>
        <v>-35426.153690454412</v>
      </c>
      <c r="S60" s="219"/>
      <c r="T60" s="219"/>
      <c r="U60" s="219"/>
      <c r="V60" s="219"/>
      <c r="W60" s="219"/>
      <c r="X60" s="184"/>
    </row>
    <row r="61" spans="2:24">
      <c r="B61" s="185" t="s">
        <v>63</v>
      </c>
      <c r="H61" s="219">
        <f t="shared" ref="H61:R61" ca="1" si="15">-H57*$M$27</f>
        <v>-3113.0883999999996</v>
      </c>
      <c r="I61" s="219">
        <f t="shared" ca="1" si="15"/>
        <v>-4023.1865920000005</v>
      </c>
      <c r="J61" s="219">
        <f t="shared" ca="1" si="15"/>
        <v>-4143.8821897600001</v>
      </c>
      <c r="K61" s="219">
        <f t="shared" ca="1" si="15"/>
        <v>-4268.1986554528003</v>
      </c>
      <c r="L61" s="219">
        <f t="shared" ca="1" si="15"/>
        <v>-4396.244615116384</v>
      </c>
      <c r="M61" s="219">
        <f t="shared" ca="1" si="15"/>
        <v>-4528.1319535698749</v>
      </c>
      <c r="N61" s="219">
        <f t="shared" ca="1" si="15"/>
        <v>-4663.9759121769712</v>
      </c>
      <c r="O61" s="219">
        <f t="shared" ca="1" si="15"/>
        <v>-4803.8951895422806</v>
      </c>
      <c r="P61" s="219">
        <f t="shared" ca="1" si="15"/>
        <v>-4948.0120452285491</v>
      </c>
      <c r="Q61" s="219">
        <f t="shared" ca="1" si="15"/>
        <v>-5096.4524065854048</v>
      </c>
      <c r="R61" s="219">
        <f t="shared" ca="1" si="15"/>
        <v>-5249.3459787829679</v>
      </c>
      <c r="S61" s="219"/>
      <c r="T61" s="189"/>
      <c r="U61" s="219"/>
      <c r="V61" s="219"/>
      <c r="W61" s="219"/>
      <c r="X61" s="184"/>
    </row>
    <row r="62" spans="2:24">
      <c r="B62" s="244" t="s">
        <v>64</v>
      </c>
      <c r="C62" s="244"/>
      <c r="D62" s="244"/>
      <c r="E62" s="244"/>
      <c r="F62" s="244"/>
      <c r="G62" s="244"/>
      <c r="H62" s="245">
        <f t="shared" ref="H62:R62" ca="1" si="16">SUM(H57:H61)</f>
        <v>84565.941648919761</v>
      </c>
      <c r="I62" s="245">
        <f t="shared" ca="1" si="16"/>
        <v>116197.49330989819</v>
      </c>
      <c r="J62" s="245">
        <f t="shared" ca="1" si="16"/>
        <v>118923.15835730733</v>
      </c>
      <c r="K62" s="245">
        <f t="shared" ca="1" si="16"/>
        <v>121683.05344837434</v>
      </c>
      <c r="L62" s="245">
        <f t="shared" ca="1" si="16"/>
        <v>124475.61854978956</v>
      </c>
      <c r="M62" s="245">
        <f t="shared" ca="1" si="16"/>
        <v>127299.11230004688</v>
      </c>
      <c r="N62" s="245">
        <f t="shared" ca="1" si="16"/>
        <v>130151.59968995498</v>
      </c>
      <c r="O62" s="245">
        <f t="shared" ca="1" si="16"/>
        <v>133030.9390240036</v>
      </c>
      <c r="P62" s="245">
        <f t="shared" ca="1" si="16"/>
        <v>135934.76812329231</v>
      </c>
      <c r="Q62" s="245">
        <f t="shared" ca="1" si="16"/>
        <v>138860.48972865532</v>
      </c>
      <c r="R62" s="245">
        <f t="shared" ca="1" si="16"/>
        <v>141805.25606043157</v>
      </c>
      <c r="S62" s="245"/>
      <c r="T62" s="297"/>
      <c r="U62" s="245"/>
      <c r="V62" s="245"/>
      <c r="W62" s="245"/>
      <c r="X62" s="184"/>
    </row>
    <row r="63" spans="2:24">
      <c r="X63" s="184"/>
    </row>
    <row r="64" spans="2:24">
      <c r="B64" s="185" t="s">
        <v>65</v>
      </c>
      <c r="H64" s="219">
        <f t="shared" ref="H64:R64" si="17">IF(H44=$M$30,I62/$M$32,0)</f>
        <v>0</v>
      </c>
      <c r="I64" s="219">
        <f t="shared" si="17"/>
        <v>0</v>
      </c>
      <c r="J64" s="219">
        <f t="shared" si="17"/>
        <v>0</v>
      </c>
      <c r="K64" s="219">
        <f t="shared" si="17"/>
        <v>0</v>
      </c>
      <c r="L64" s="219">
        <f t="shared" si="17"/>
        <v>0</v>
      </c>
      <c r="M64" s="219">
        <f t="shared" si="17"/>
        <v>0</v>
      </c>
      <c r="N64" s="219">
        <f t="shared" si="17"/>
        <v>0</v>
      </c>
      <c r="O64" s="219">
        <f t="shared" si="17"/>
        <v>0</v>
      </c>
      <c r="P64" s="219">
        <f t="shared" ca="1" si="17"/>
        <v>2644961.709117244</v>
      </c>
      <c r="Q64" s="219">
        <f t="shared" si="17"/>
        <v>0</v>
      </c>
      <c r="R64" s="219">
        <f t="shared" si="17"/>
        <v>0</v>
      </c>
      <c r="S64" s="219"/>
      <c r="T64" s="189"/>
      <c r="U64" s="219"/>
      <c r="V64" s="219"/>
      <c r="W64" s="219"/>
      <c r="X64" s="184"/>
    </row>
    <row r="65" spans="1:24">
      <c r="B65" s="238" t="s">
        <v>66</v>
      </c>
      <c r="C65" s="238"/>
      <c r="D65" s="238"/>
      <c r="E65" s="238"/>
      <c r="F65" s="238"/>
      <c r="G65" s="238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98"/>
      <c r="U65" s="240"/>
      <c r="V65" s="240"/>
      <c r="W65" s="240"/>
      <c r="X65" s="184"/>
    </row>
    <row r="66" spans="1:24">
      <c r="A66" s="250"/>
      <c r="B66" s="251" t="s">
        <v>67</v>
      </c>
      <c r="C66" s="251"/>
      <c r="D66" s="251"/>
      <c r="E66" s="251"/>
      <c r="F66" s="251"/>
      <c r="G66" s="252">
        <f t="shared" ref="G66:R66" ca="1" si="18">IF(G44&lt;=$M$30,SUM(G62,G64:G65,G47),0)</f>
        <v>-5232828.9549801471</v>
      </c>
      <c r="H66" s="252">
        <f t="shared" ca="1" si="18"/>
        <v>84565.941648919761</v>
      </c>
      <c r="I66" s="252">
        <f t="shared" ca="1" si="18"/>
        <v>116197.49330989819</v>
      </c>
      <c r="J66" s="252">
        <f t="shared" ca="1" si="18"/>
        <v>118923.15835730733</v>
      </c>
      <c r="K66" s="252">
        <f t="shared" ca="1" si="18"/>
        <v>121683.05344837434</v>
      </c>
      <c r="L66" s="252">
        <f t="shared" ca="1" si="18"/>
        <v>124475.61854978956</v>
      </c>
      <c r="M66" s="252">
        <f t="shared" ca="1" si="18"/>
        <v>127299.11230004688</v>
      </c>
      <c r="N66" s="252">
        <f t="shared" ca="1" si="18"/>
        <v>130151.59968995498</v>
      </c>
      <c r="O66" s="252">
        <f t="shared" ca="1" si="18"/>
        <v>133030.9390240036</v>
      </c>
      <c r="P66" s="252">
        <f t="shared" ca="1" si="18"/>
        <v>2780896.4772405364</v>
      </c>
      <c r="Q66" s="252">
        <f t="shared" si="18"/>
        <v>0</v>
      </c>
      <c r="R66" s="252">
        <f t="shared" si="18"/>
        <v>0</v>
      </c>
      <c r="S66" s="252"/>
      <c r="T66" s="299"/>
      <c r="U66" s="252"/>
      <c r="V66" s="252"/>
      <c r="W66" s="252"/>
      <c r="X66" s="184"/>
    </row>
    <row r="67" spans="1:24" ht="16" thickBot="1">
      <c r="X67" s="184"/>
    </row>
    <row r="68" spans="1:24">
      <c r="B68" s="253" t="s">
        <v>68</v>
      </c>
      <c r="C68" s="254"/>
      <c r="D68" s="254"/>
      <c r="E68" s="254"/>
      <c r="F68" s="255">
        <f ca="1">SUM(G66:R66)</f>
        <v>-1495605.5614113165</v>
      </c>
      <c r="X68" s="184"/>
    </row>
    <row r="69" spans="1:24">
      <c r="B69" s="256" t="s">
        <v>69</v>
      </c>
      <c r="F69" s="257">
        <f ca="1">NPV(M31,H66:R66)</f>
        <v>2138759.6551759089</v>
      </c>
      <c r="X69" s="184"/>
    </row>
    <row r="70" spans="1:24">
      <c r="B70" s="256" t="s">
        <v>70</v>
      </c>
      <c r="F70" s="257">
        <f ca="1">F69+G66</f>
        <v>-3094069.2998042381</v>
      </c>
      <c r="G70" s="258"/>
      <c r="X70" s="184"/>
    </row>
    <row r="71" spans="1:24">
      <c r="B71" s="256" t="s">
        <v>71</v>
      </c>
      <c r="F71" s="259">
        <f ca="1">IRR(G66:R66)</f>
        <v>-4.1196981322687787E-2</v>
      </c>
      <c r="X71" s="184"/>
    </row>
    <row r="72" spans="1:24" ht="16" thickBot="1">
      <c r="B72" s="260" t="s">
        <v>72</v>
      </c>
      <c r="C72" s="261"/>
      <c r="D72" s="261"/>
      <c r="E72" s="261"/>
      <c r="F72" s="262">
        <f ca="1">(F68/-G66)+1</f>
        <v>0.71418795181754779</v>
      </c>
      <c r="X72" s="184"/>
    </row>
    <row r="74" spans="1:24">
      <c r="B74" s="185" t="s">
        <v>73</v>
      </c>
      <c r="G74" s="219">
        <f ca="1">R30</f>
        <v>3367662.1987496</v>
      </c>
    </row>
    <row r="75" spans="1:24">
      <c r="B75" s="185" t="s">
        <v>74</v>
      </c>
      <c r="H75" s="219">
        <f t="shared" ref="H75:R75" si="19">IF(H44=$M$30,FV($R$18/12,H44*12,$R$20,$R$17,0),0)</f>
        <v>0</v>
      </c>
      <c r="I75" s="219">
        <f t="shared" si="19"/>
        <v>0</v>
      </c>
      <c r="J75" s="219">
        <f t="shared" si="19"/>
        <v>0</v>
      </c>
      <c r="K75" s="219">
        <f t="shared" si="19"/>
        <v>0</v>
      </c>
      <c r="L75" s="219">
        <f t="shared" si="19"/>
        <v>0</v>
      </c>
      <c r="M75" s="219">
        <f t="shared" si="19"/>
        <v>0</v>
      </c>
      <c r="N75" s="219">
        <f t="shared" si="19"/>
        <v>0</v>
      </c>
      <c r="O75" s="219">
        <f t="shared" si="19"/>
        <v>0</v>
      </c>
      <c r="P75" s="219">
        <f t="shared" ca="1" si="19"/>
        <v>-2778534.089469614</v>
      </c>
      <c r="Q75" s="219">
        <f t="shared" si="19"/>
        <v>0</v>
      </c>
      <c r="R75" s="219">
        <f t="shared" si="19"/>
        <v>0</v>
      </c>
      <c r="S75" s="258"/>
      <c r="T75" s="300"/>
      <c r="U75" s="258"/>
      <c r="V75" s="258"/>
      <c r="W75" s="258"/>
      <c r="X75" s="258"/>
    </row>
    <row r="76" spans="1:24">
      <c r="B76" s="185" t="s">
        <v>75</v>
      </c>
      <c r="H76" s="219">
        <f t="shared" ref="H76:R76" ca="1" si="20">IF(H44&lt;=$M$30,$R$20*12,0)</f>
        <v>-204761.39574748173</v>
      </c>
      <c r="I76" s="219">
        <f t="shared" ca="1" si="20"/>
        <v>-204761.39574748173</v>
      </c>
      <c r="J76" s="219">
        <f t="shared" ca="1" si="20"/>
        <v>-204761.39574748173</v>
      </c>
      <c r="K76" s="219">
        <f t="shared" ca="1" si="20"/>
        <v>-204761.39574748173</v>
      </c>
      <c r="L76" s="219">
        <f t="shared" ca="1" si="20"/>
        <v>-204761.39574748173</v>
      </c>
      <c r="M76" s="219">
        <f t="shared" ca="1" si="20"/>
        <v>-204761.39574748173</v>
      </c>
      <c r="N76" s="219">
        <f t="shared" ca="1" si="20"/>
        <v>-204761.39574748173</v>
      </c>
      <c r="O76" s="219">
        <f t="shared" ca="1" si="20"/>
        <v>-204761.39574748173</v>
      </c>
      <c r="P76" s="219">
        <f t="shared" ca="1" si="20"/>
        <v>-204761.39574748173</v>
      </c>
      <c r="Q76" s="219">
        <f t="shared" si="20"/>
        <v>0</v>
      </c>
      <c r="R76" s="219">
        <f t="shared" si="20"/>
        <v>0</v>
      </c>
      <c r="S76" s="219"/>
      <c r="T76" s="189"/>
      <c r="U76" s="219"/>
      <c r="V76" s="219"/>
      <c r="W76" s="219"/>
      <c r="X76" s="219"/>
    </row>
    <row r="77" spans="1:24">
      <c r="B77" s="325" t="s">
        <v>438</v>
      </c>
      <c r="H77" s="219">
        <f ca="1">SUM(H75:H76)</f>
        <v>-204761.39574748173</v>
      </c>
      <c r="I77" s="219">
        <f t="shared" ref="I77:Q77" ca="1" si="21">SUM(I75:I76)</f>
        <v>-204761.39574748173</v>
      </c>
      <c r="J77" s="219">
        <f t="shared" ca="1" si="21"/>
        <v>-204761.39574748173</v>
      </c>
      <c r="K77" s="219">
        <f t="shared" ca="1" si="21"/>
        <v>-204761.39574748173</v>
      </c>
      <c r="L77" s="219">
        <f t="shared" ca="1" si="21"/>
        <v>-204761.39574748173</v>
      </c>
      <c r="M77" s="219">
        <f t="shared" ca="1" si="21"/>
        <v>-204761.39574748173</v>
      </c>
      <c r="N77" s="219">
        <f t="shared" ca="1" si="21"/>
        <v>-204761.39574748173</v>
      </c>
      <c r="O77" s="219">
        <f t="shared" ca="1" si="21"/>
        <v>-204761.39574748173</v>
      </c>
      <c r="P77" s="219">
        <f t="shared" ca="1" si="21"/>
        <v>-2983295.4852170958</v>
      </c>
      <c r="Q77" s="219">
        <f t="shared" si="21"/>
        <v>0</v>
      </c>
    </row>
    <row r="78" spans="1:24">
      <c r="A78" s="250"/>
      <c r="B78" s="251" t="s">
        <v>76</v>
      </c>
      <c r="C78" s="251"/>
      <c r="D78" s="251"/>
      <c r="E78" s="251"/>
      <c r="F78" s="251"/>
      <c r="G78" s="252">
        <f ca="1">SUM(G66,G74:G76)</f>
        <v>-1865166.7562305471</v>
      </c>
      <c r="H78" s="252">
        <f t="shared" ref="H78:R78" ca="1" si="22">SUM(H66,H74:H76)</f>
        <v>-120195.45409856197</v>
      </c>
      <c r="I78" s="252">
        <f t="shared" ca="1" si="22"/>
        <v>-88563.902437583543</v>
      </c>
      <c r="J78" s="252">
        <f t="shared" ca="1" si="22"/>
        <v>-85838.237390174399</v>
      </c>
      <c r="K78" s="252">
        <f t="shared" ca="1" si="22"/>
        <v>-83078.342299107389</v>
      </c>
      <c r="L78" s="252">
        <f t="shared" ca="1" si="22"/>
        <v>-80285.777197692165</v>
      </c>
      <c r="M78" s="252">
        <f t="shared" ca="1" si="22"/>
        <v>-77462.283447434849</v>
      </c>
      <c r="N78" s="252">
        <f t="shared" ca="1" si="22"/>
        <v>-74609.79605752675</v>
      </c>
      <c r="O78" s="252">
        <f t="shared" ca="1" si="22"/>
        <v>-71730.456723478128</v>
      </c>
      <c r="P78" s="252">
        <f t="shared" ca="1" si="22"/>
        <v>-202399.00797655934</v>
      </c>
      <c r="Q78" s="252">
        <f t="shared" si="22"/>
        <v>0</v>
      </c>
      <c r="R78" s="252">
        <f t="shared" si="22"/>
        <v>0</v>
      </c>
      <c r="S78" s="252"/>
      <c r="T78" s="299"/>
      <c r="U78" s="252"/>
      <c r="V78" s="252"/>
      <c r="W78" s="252"/>
      <c r="X78" s="301"/>
    </row>
    <row r="79" spans="1:24" ht="16" thickBot="1"/>
    <row r="80" spans="1:24">
      <c r="B80" s="253" t="str">
        <f>B68</f>
        <v>Profit</v>
      </c>
      <c r="C80" s="254"/>
      <c r="D80" s="254"/>
      <c r="E80" s="254"/>
      <c r="F80" s="255">
        <f ca="1">SUM(G78:R78)</f>
        <v>-2749330.0138586657</v>
      </c>
    </row>
    <row r="81" spans="1:24">
      <c r="B81" s="256" t="str">
        <f t="shared" ref="B81:B84" si="23">B69</f>
        <v>PV</v>
      </c>
      <c r="F81" s="257">
        <f ca="1">NPV($M$31,H78:R78)</f>
        <v>-616627.61595064215</v>
      </c>
    </row>
    <row r="82" spans="1:24">
      <c r="B82" s="256" t="str">
        <f t="shared" si="23"/>
        <v>NPV</v>
      </c>
      <c r="F82" s="257">
        <f ca="1">F81+G78</f>
        <v>-2481794.3721811892</v>
      </c>
    </row>
    <row r="83" spans="1:24">
      <c r="B83" s="256" t="s">
        <v>77</v>
      </c>
      <c r="F83" s="263" t="e">
        <f ca="1">IRR(G78:R78)</f>
        <v>#NUM!</v>
      </c>
    </row>
    <row r="84" spans="1:24" ht="16" thickBot="1">
      <c r="B84" s="260" t="str">
        <f t="shared" si="23"/>
        <v>Equity Multiple</v>
      </c>
      <c r="C84" s="261"/>
      <c r="D84" s="261"/>
      <c r="E84" s="261"/>
      <c r="F84" s="262">
        <f ca="1">(F80/-G78)+1</f>
        <v>-0.47403979010165798</v>
      </c>
    </row>
    <row r="86" spans="1:24">
      <c r="A86" s="185" t="s">
        <v>1</v>
      </c>
      <c r="B86" s="216" t="s">
        <v>78</v>
      </c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302"/>
      <c r="U86" s="216"/>
      <c r="V86" s="216"/>
      <c r="W86" s="216"/>
      <c r="X86" s="216"/>
    </row>
    <row r="87" spans="1:24">
      <c r="B87" s="185" t="s">
        <v>79</v>
      </c>
      <c r="H87" s="264">
        <f ca="1">-H66/$G$66</f>
        <v>1.6160654662414932E-2</v>
      </c>
      <c r="I87" s="264">
        <f t="shared" ref="I87:R87" ca="1" si="24">-I66/$G$66</f>
        <v>2.2205482791351629E-2</v>
      </c>
      <c r="J87" s="264">
        <f t="shared" ca="1" si="24"/>
        <v>2.2726360708604225E-2</v>
      </c>
      <c r="K87" s="264">
        <f t="shared" ca="1" si="24"/>
        <v>2.3253780028977843E-2</v>
      </c>
      <c r="L87" s="264">
        <f t="shared" ca="1" si="24"/>
        <v>2.3787442628202971E-2</v>
      </c>
      <c r="M87" s="264">
        <f t="shared" ca="1" si="24"/>
        <v>2.4327015729970453E-2</v>
      </c>
      <c r="N87" s="264">
        <f t="shared" ca="1" si="24"/>
        <v>2.4872129551662129E-2</v>
      </c>
      <c r="O87" s="264">
        <f t="shared" ca="1" si="24"/>
        <v>2.5422374812652044E-2</v>
      </c>
      <c r="P87" s="264">
        <f t="shared" ca="1" si="24"/>
        <v>0.53143271090371169</v>
      </c>
      <c r="Q87" s="264">
        <f t="shared" ca="1" si="24"/>
        <v>0</v>
      </c>
      <c r="R87" s="264">
        <f t="shared" ca="1" si="24"/>
        <v>0</v>
      </c>
      <c r="S87" s="264"/>
      <c r="T87" s="303"/>
      <c r="U87" s="264"/>
      <c r="V87" s="264"/>
      <c r="W87" s="264"/>
      <c r="X87" s="264"/>
    </row>
    <row r="88" spans="1:24">
      <c r="B88" s="185" t="s">
        <v>80</v>
      </c>
      <c r="H88" s="264">
        <f ca="1">-H78/$G$78</f>
        <v>-6.4442202659387854E-2</v>
      </c>
      <c r="I88" s="264">
        <f t="shared" ref="I88:R88" ca="1" si="25">-I78/$G$78</f>
        <v>-4.7483101519870993E-2</v>
      </c>
      <c r="J88" s="264">
        <f t="shared" ca="1" si="25"/>
        <v>-4.6021749585356764E-2</v>
      </c>
      <c r="K88" s="264">
        <f t="shared" ca="1" si="25"/>
        <v>-4.4542045380975226E-2</v>
      </c>
      <c r="L88" s="264">
        <f t="shared" ca="1" si="25"/>
        <v>-4.3044825310926946E-2</v>
      </c>
      <c r="M88" s="264">
        <f t="shared" ca="1" si="25"/>
        <v>-4.1531022997634851E-2</v>
      </c>
      <c r="N88" s="264">
        <f t="shared" ca="1" si="25"/>
        <v>-4.0001675886777645E-2</v>
      </c>
      <c r="O88" s="264">
        <f t="shared" ca="1" si="25"/>
        <v>-3.8457932237889278E-2</v>
      </c>
      <c r="P88" s="264">
        <f t="shared" ca="1" si="25"/>
        <v>-0.10851523452283827</v>
      </c>
      <c r="Q88" s="264">
        <f t="shared" ca="1" si="25"/>
        <v>0</v>
      </c>
      <c r="R88" s="264">
        <f t="shared" ca="1" si="25"/>
        <v>0</v>
      </c>
      <c r="S88" s="264"/>
      <c r="T88" s="303"/>
      <c r="U88" s="264"/>
      <c r="V88" s="264"/>
      <c r="W88" s="264"/>
      <c r="X88" s="264"/>
    </row>
    <row r="89" spans="1:24">
      <c r="B89" s="185" t="s">
        <v>81</v>
      </c>
      <c r="H89" s="219">
        <f t="shared" ref="H89:R89" ca="1" si="26">-CUMPRINC($R$18/12,$R$19*12,$R$17,H44*12-11,H44*12,0)</f>
        <v>54328.025475998023</v>
      </c>
      <c r="I89" s="219">
        <f t="shared" ca="1" si="26"/>
        <v>56823.845461166136</v>
      </c>
      <c r="J89" s="219">
        <f t="shared" ca="1" si="26"/>
        <v>59434.322979785655</v>
      </c>
      <c r="K89" s="219">
        <f t="shared" ca="1" si="26"/>
        <v>62164.725378882962</v>
      </c>
      <c r="L89" s="219">
        <f t="shared" ca="1" si="26"/>
        <v>65020.56198648522</v>
      </c>
      <c r="M89" s="219">
        <f t="shared" ca="1" si="26"/>
        <v>68007.595228185208</v>
      </c>
      <c r="N89" s="219">
        <f t="shared" ca="1" si="26"/>
        <v>71131.85225439936</v>
      </c>
      <c r="O89" s="219">
        <f t="shared" ca="1" si="26"/>
        <v>74399.637101779575</v>
      </c>
      <c r="P89" s="219">
        <f t="shared" ca="1" si="26"/>
        <v>77817.543413318752</v>
      </c>
      <c r="Q89" s="219">
        <f t="shared" ca="1" si="26"/>
        <v>81392.467742815177</v>
      </c>
      <c r="R89" s="219">
        <f t="shared" ca="1" si="26"/>
        <v>85131.623470542021</v>
      </c>
      <c r="S89" s="219"/>
      <c r="T89" s="189"/>
      <c r="U89" s="219"/>
      <c r="V89" s="219"/>
      <c r="W89" s="219"/>
      <c r="X89" s="219"/>
    </row>
    <row r="90" spans="1:24">
      <c r="B90" s="185" t="s">
        <v>82</v>
      </c>
      <c r="H90" s="264">
        <f t="shared" ref="H90:R90" ca="1" si="27">IF(H44&lt;=$M$30,(H89+H78)/-$G$78,0)</f>
        <v>-3.5314498503973064E-2</v>
      </c>
      <c r="I90" s="264">
        <f t="shared" ca="1" si="27"/>
        <v>-1.7017275731722362E-2</v>
      </c>
      <c r="J90" s="264">
        <f t="shared" ca="1" si="27"/>
        <v>-1.4156329090783475E-2</v>
      </c>
      <c r="K90" s="264">
        <f t="shared" ca="1" si="27"/>
        <v>-1.1212733044036393E-2</v>
      </c>
      <c r="L90" s="264">
        <f t="shared" ca="1" si="27"/>
        <v>-8.1843701965059381E-3</v>
      </c>
      <c r="M90" s="264">
        <f t="shared" ca="1" si="27"/>
        <v>-5.0690846744219894E-3</v>
      </c>
      <c r="N90" s="264">
        <f t="shared" ca="1" si="27"/>
        <v>-1.8646824963555657E-3</v>
      </c>
      <c r="O90" s="264">
        <f t="shared" ca="1" si="27"/>
        <v>1.4310679564629334E-3</v>
      </c>
      <c r="P90" s="264">
        <f t="shared" ca="1" si="27"/>
        <v>-6.6793740638513441E-2</v>
      </c>
      <c r="Q90" s="264">
        <f t="shared" si="27"/>
        <v>0</v>
      </c>
      <c r="R90" s="264">
        <f t="shared" si="27"/>
        <v>0</v>
      </c>
      <c r="S90" s="264"/>
      <c r="T90" s="303"/>
      <c r="U90" s="264"/>
      <c r="V90" s="264"/>
      <c r="W90" s="264"/>
      <c r="X90" s="264"/>
    </row>
    <row r="91" spans="1:24">
      <c r="B91" s="185" t="s">
        <v>24</v>
      </c>
      <c r="H91" s="237">
        <f t="shared" ref="H91:R91" ca="1" si="28">IF(H44&lt;=$M$30,H62/-H76,0)</f>
        <v>0.41299748587965857</v>
      </c>
      <c r="I91" s="237">
        <f t="shared" ca="1" si="28"/>
        <v>0.56747754080166868</v>
      </c>
      <c r="J91" s="237">
        <f t="shared" ca="1" si="28"/>
        <v>0.58078896133315649</v>
      </c>
      <c r="K91" s="237">
        <f t="shared" ca="1" si="28"/>
        <v>0.59426755226086536</v>
      </c>
      <c r="L91" s="237">
        <f t="shared" ca="1" si="28"/>
        <v>0.60790569479852963</v>
      </c>
      <c r="M91" s="237">
        <f t="shared" ca="1" si="28"/>
        <v>0.62169488460137379</v>
      </c>
      <c r="N91" s="237">
        <f t="shared" ca="1" si="28"/>
        <v>0.63562567160101835</v>
      </c>
      <c r="O91" s="237">
        <f t="shared" ca="1" si="28"/>
        <v>0.64968759632827267</v>
      </c>
      <c r="P91" s="237">
        <f t="shared" ca="1" si="28"/>
        <v>0.66386912253192198</v>
      </c>
      <c r="Q91" s="237">
        <f t="shared" si="28"/>
        <v>0</v>
      </c>
      <c r="R91" s="237">
        <f t="shared" si="28"/>
        <v>0</v>
      </c>
      <c r="S91" s="237"/>
      <c r="T91" s="285"/>
      <c r="U91" s="237"/>
      <c r="V91" s="237"/>
      <c r="W91" s="237"/>
      <c r="X91" s="237"/>
    </row>
    <row r="92" spans="1:24">
      <c r="B92" s="185" t="s">
        <v>27</v>
      </c>
      <c r="H92" s="264">
        <f ca="1">H66/($G$74-SUM(H89:$H$89))</f>
        <v>2.5522913544626831E-2</v>
      </c>
      <c r="I92" s="264">
        <f ca="1">I66/($G$74-SUM($H89:I$89))</f>
        <v>3.5681598279454552E-2</v>
      </c>
      <c r="J92" s="264">
        <f ca="1">J66/($G$74-SUM($H89:J$89))</f>
        <v>3.7197476124291369E-2</v>
      </c>
      <c r="K92" s="264">
        <f ca="1">K66/($G$74-SUM($H89:K$89))</f>
        <v>3.8815469594270825E-2</v>
      </c>
      <c r="L92" s="264">
        <f ca="1">L66/($G$74-SUM($H89:L$89))</f>
        <v>4.0547247444848562E-2</v>
      </c>
      <c r="M92" s="264">
        <f ca="1">M66/($G$74-SUM($H89:M$89))</f>
        <v>4.2406418610027294E-2</v>
      </c>
      <c r="N92" s="264">
        <f ca="1">N66/($G$74-SUM($H89:N$89))</f>
        <v>4.4408954462599126E-2</v>
      </c>
      <c r="O92" s="264">
        <f ca="1">O66/($G$74-SUM($H89:O$89))</f>
        <v>4.6573726250130967E-2</v>
      </c>
      <c r="P92" s="264">
        <f ca="1">P66/($G$74-SUM($H89:P$89))</f>
        <v>1.0008502281040534</v>
      </c>
      <c r="Q92" s="264">
        <f ca="1">Q66/($G$74-SUM($H89:Q$89))</f>
        <v>0</v>
      </c>
      <c r="R92" s="264">
        <f ca="1">R66/($G$74-SUM($H89:R$89))</f>
        <v>0</v>
      </c>
      <c r="S92" s="264"/>
      <c r="T92" s="303"/>
      <c r="U92" s="264"/>
      <c r="V92" s="264"/>
      <c r="W92" s="264"/>
      <c r="X92" s="264"/>
    </row>
  </sheetData>
  <conditionalFormatting sqref="T16:U27">
    <cfRule type="expression" dxfId="3" priority="1">
      <formula>$G$49="N"</formula>
    </cfRule>
  </conditionalFormatting>
  <conditionalFormatting sqref="U16">
    <cfRule type="expression" dxfId="2" priority="2">
      <formula>AND(#REF!=0, $G$49="Y")</formula>
    </cfRule>
  </conditionalFormatting>
  <pageMargins left="0.7" right="0.7" top="0.75" bottom="0.75" header="0.3" footer="0.3"/>
  <pageSetup scale="31" orientation="portrait" r:id="rId1"/>
  <headerFooter>
    <oddHeader xml:space="preserve">&amp;L2019 ULI Hines Student Competition&amp;R2019-331 &amp;A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D4C7A-EA00-4A19-9B3A-C6F727F9398B}">
  <sheetPr>
    <tabColor theme="3"/>
  </sheetPr>
  <dimension ref="A3:T107"/>
  <sheetViews>
    <sheetView showGridLines="0" view="pageBreakPreview" zoomScale="85" zoomScaleNormal="100" zoomScaleSheetLayoutView="85" workbookViewId="0">
      <selection activeCell="B2" sqref="B2"/>
    </sheetView>
  </sheetViews>
  <sheetFormatPr baseColWidth="10" defaultColWidth="8.83203125" defaultRowHeight="15"/>
  <cols>
    <col min="1" max="1" width="3.5" style="180" customWidth="1"/>
    <col min="2" max="2" width="1.6640625" style="180" customWidth="1"/>
    <col min="3" max="3" width="3" style="180" customWidth="1"/>
    <col min="4" max="4" width="1.6640625" style="180" customWidth="1"/>
    <col min="5" max="5" width="17.6640625" style="180" customWidth="1"/>
    <col min="6" max="6" width="8.83203125" style="180" customWidth="1"/>
    <col min="7" max="7" width="16.33203125" style="180" customWidth="1"/>
    <col min="8" max="8" width="13.5" style="180" bestFit="1" customWidth="1"/>
    <col min="9" max="9" width="12.33203125" style="180" bestFit="1" customWidth="1"/>
    <col min="10" max="10" width="13.6640625" style="180" bestFit="1" customWidth="1"/>
    <col min="11" max="12" width="12.5" style="180" bestFit="1" customWidth="1"/>
    <col min="13" max="14" width="12.33203125" style="180" bestFit="1" customWidth="1"/>
    <col min="15" max="15" width="12.1640625" style="180" bestFit="1" customWidth="1"/>
    <col min="16" max="16" width="13" style="183" customWidth="1"/>
    <col min="17" max="17" width="13" style="180" customWidth="1"/>
    <col min="18" max="18" width="13.1640625" style="180" customWidth="1"/>
    <col min="19" max="20" width="8.83203125" style="180"/>
    <col min="21" max="21" width="8.83203125" style="184"/>
    <col min="22" max="22" width="14.1640625" style="184" bestFit="1" customWidth="1"/>
    <col min="23" max="16384" width="8.83203125" style="184"/>
  </cols>
  <sheetData>
    <row r="3" spans="2:18">
      <c r="C3" s="45"/>
      <c r="D3" s="181" t="s">
        <v>41</v>
      </c>
      <c r="E3" s="181"/>
      <c r="F3" s="182" t="s">
        <v>425</v>
      </c>
      <c r="G3" s="182" t="s">
        <v>310</v>
      </c>
    </row>
    <row r="4" spans="2:18">
      <c r="C4" s="183"/>
      <c r="D4" s="185" t="s">
        <v>186</v>
      </c>
      <c r="E4" s="185"/>
      <c r="F4" s="186"/>
      <c r="G4" s="186">
        <f ca="1">Assumptions!U6</f>
        <v>351350.72198688757</v>
      </c>
    </row>
    <row r="5" spans="2:18">
      <c r="C5" s="183"/>
      <c r="D5" s="185" t="s">
        <v>422</v>
      </c>
      <c r="E5" s="185"/>
      <c r="F5" s="186">
        <f>Assumptions!E60</f>
        <v>199.79363016000002</v>
      </c>
      <c r="G5" s="186">
        <f ca="1">F5*$G$17</f>
        <v>21222239.230499331</v>
      </c>
    </row>
    <row r="6" spans="2:18">
      <c r="C6" s="183"/>
      <c r="D6" s="185" t="s">
        <v>423</v>
      </c>
      <c r="E6" s="185"/>
      <c r="F6" s="186">
        <f>Assumptions!G60</f>
        <v>29.969044524000001</v>
      </c>
      <c r="G6" s="186">
        <f ca="1">F6*$G$17</f>
        <v>3183335.8845748994</v>
      </c>
    </row>
    <row r="7" spans="2:18">
      <c r="C7" s="183"/>
      <c r="D7" s="185" t="s">
        <v>187</v>
      </c>
      <c r="E7" s="185"/>
      <c r="F7" s="186"/>
      <c r="G7" s="186">
        <f ca="1">Assumptions!V6</f>
        <v>853654.86535041837</v>
      </c>
    </row>
    <row r="8" spans="2:18">
      <c r="C8" s="183"/>
      <c r="D8" s="185" t="s">
        <v>424</v>
      </c>
      <c r="E8" s="185"/>
      <c r="F8" s="186">
        <f>Assumptions!E71</f>
        <v>12000</v>
      </c>
      <c r="G8" s="186">
        <f>F8*Assumptions!T6</f>
        <v>5044160</v>
      </c>
    </row>
    <row r="9" spans="2:18">
      <c r="C9" s="183"/>
      <c r="D9" s="185" t="s">
        <v>121</v>
      </c>
      <c r="E9" s="185"/>
      <c r="F9" s="188"/>
      <c r="G9" s="186">
        <f ca="1">-G62</f>
        <v>5311040</v>
      </c>
    </row>
    <row r="10" spans="2:18">
      <c r="C10" s="183"/>
      <c r="D10" s="185" t="s">
        <v>123</v>
      </c>
      <c r="E10" s="185"/>
      <c r="F10" s="187"/>
      <c r="G10" s="186">
        <f ca="1">-G61</f>
        <v>913583.8579358937</v>
      </c>
    </row>
    <row r="11" spans="2:18">
      <c r="C11" s="183"/>
      <c r="D11" s="185"/>
      <c r="E11" s="185"/>
      <c r="F11" s="187"/>
      <c r="G11" s="186"/>
    </row>
    <row r="12" spans="2:18">
      <c r="C12" s="183"/>
      <c r="D12" s="304" t="s">
        <v>426</v>
      </c>
      <c r="E12" s="304"/>
      <c r="F12" s="305">
        <f ca="1">G12/G17</f>
        <v>347.19531918746065</v>
      </c>
      <c r="G12" s="305">
        <f ca="1">G4+G5+G6+G7+G8+G9+G10</f>
        <v>36879364.560347423</v>
      </c>
    </row>
    <row r="13" spans="2:18">
      <c r="B13" s="190"/>
    </row>
    <row r="14" spans="2:18">
      <c r="B14" s="191" t="s">
        <v>102</v>
      </c>
    </row>
    <row r="16" spans="2:18">
      <c r="B16" s="426" t="s">
        <v>2</v>
      </c>
      <c r="C16" s="426"/>
      <c r="D16" s="426"/>
      <c r="E16" s="426"/>
      <c r="F16" s="426"/>
      <c r="G16" s="426"/>
      <c r="H16" s="426"/>
      <c r="I16" s="6"/>
      <c r="J16" s="5" t="s">
        <v>103</v>
      </c>
      <c r="K16" s="5"/>
      <c r="L16" s="5"/>
      <c r="M16" s="5"/>
      <c r="N16" s="7" t="s">
        <v>104</v>
      </c>
      <c r="P16" s="426" t="s">
        <v>41</v>
      </c>
      <c r="Q16" s="426"/>
      <c r="R16" s="426"/>
    </row>
    <row r="17" spans="2:19">
      <c r="B17" s="180" t="s">
        <v>14</v>
      </c>
      <c r="F17" s="19">
        <v>0.8</v>
      </c>
      <c r="G17" s="396">
        <f ca="1">Assumptions!P6*F17</f>
        <v>106220.8</v>
      </c>
      <c r="J17" s="180" t="s">
        <v>47</v>
      </c>
      <c r="M17" s="192">
        <f ca="1">G17*G21</f>
        <v>2867961.6</v>
      </c>
      <c r="N17" s="193">
        <f ca="1">M17/G17</f>
        <v>27</v>
      </c>
      <c r="P17" s="180" t="s">
        <v>105</v>
      </c>
      <c r="R17" s="398">
        <f ca="1">G12</f>
        <v>36879364.560347423</v>
      </c>
    </row>
    <row r="18" spans="2:19">
      <c r="J18" s="180" t="s">
        <v>60</v>
      </c>
      <c r="M18" s="192">
        <f ca="1">-M17*G24</f>
        <v>-286796.16000000003</v>
      </c>
      <c r="N18" s="183"/>
      <c r="P18" s="308" t="s">
        <v>435</v>
      </c>
      <c r="Q18" s="274">
        <v>0.01</v>
      </c>
      <c r="R18" s="192">
        <f ca="1">R17*Q18</f>
        <v>368793.64560347423</v>
      </c>
      <c r="S18" s="11"/>
    </row>
    <row r="19" spans="2:19">
      <c r="B19" s="5" t="s">
        <v>106</v>
      </c>
      <c r="C19" s="5"/>
      <c r="D19" s="5"/>
      <c r="E19" s="5"/>
      <c r="F19" s="5"/>
      <c r="G19" s="5"/>
      <c r="H19" s="5"/>
      <c r="I19" s="6"/>
      <c r="J19" s="195" t="s">
        <v>61</v>
      </c>
      <c r="K19" s="195"/>
      <c r="L19" s="195"/>
      <c r="M19" s="196">
        <f ca="1">M17+M18</f>
        <v>2581165.44</v>
      </c>
      <c r="N19" s="197"/>
      <c r="P19" s="198" t="s">
        <v>45</v>
      </c>
      <c r="Q19" s="195"/>
      <c r="R19" s="196">
        <f ca="1">SUM(R17:R18)</f>
        <v>37248158.205950901</v>
      </c>
      <c r="S19" s="16"/>
    </row>
    <row r="20" spans="2:19">
      <c r="B20" s="180" t="s">
        <v>107</v>
      </c>
      <c r="G20" s="17">
        <v>15</v>
      </c>
      <c r="H20" s="180" t="s">
        <v>108</v>
      </c>
      <c r="N20" s="183"/>
    </row>
    <row r="21" spans="2:19">
      <c r="B21" s="180" t="s">
        <v>109</v>
      </c>
      <c r="G21" s="179">
        <f>ROUNDUP(Assumptions!H60,0)</f>
        <v>27</v>
      </c>
      <c r="H21" s="180" t="s">
        <v>110</v>
      </c>
      <c r="J21" s="18" t="s">
        <v>111</v>
      </c>
      <c r="N21" s="183"/>
      <c r="P21" s="5" t="s">
        <v>32</v>
      </c>
      <c r="Q21" s="5"/>
      <c r="R21" s="5"/>
    </row>
    <row r="22" spans="2:19">
      <c r="B22" s="180" t="s">
        <v>112</v>
      </c>
      <c r="G22" s="19">
        <v>0.03</v>
      </c>
      <c r="H22" s="180" t="s">
        <v>113</v>
      </c>
      <c r="J22" s="180" t="s">
        <v>114</v>
      </c>
      <c r="M22" s="192">
        <f ca="1">N22*$G$17</f>
        <v>159331.20000000001</v>
      </c>
      <c r="N22" s="20">
        <v>1.5</v>
      </c>
      <c r="P22" s="194" t="s">
        <v>7</v>
      </c>
      <c r="R22" s="192">
        <f ca="1">G37</f>
        <v>24211302.833868086</v>
      </c>
    </row>
    <row r="23" spans="2:19">
      <c r="B23" s="180" t="s">
        <v>115</v>
      </c>
      <c r="G23" s="19">
        <v>0.02</v>
      </c>
      <c r="J23" s="180" t="s">
        <v>116</v>
      </c>
      <c r="M23" s="192">
        <f ca="1">N23*$G$17</f>
        <v>159331.20000000001</v>
      </c>
      <c r="N23" s="20">
        <v>1.5</v>
      </c>
      <c r="P23" s="194" t="s">
        <v>34</v>
      </c>
      <c r="R23" s="192">
        <f ca="1">R24-R22</f>
        <v>13036855.372082815</v>
      </c>
    </row>
    <row r="24" spans="2:19">
      <c r="B24" s="180" t="s">
        <v>117</v>
      </c>
      <c r="G24" s="19">
        <v>0.1</v>
      </c>
      <c r="H24" s="180" t="s">
        <v>118</v>
      </c>
      <c r="J24" s="180" t="s">
        <v>119</v>
      </c>
      <c r="M24" s="192">
        <f ca="1">N24*$G$17</f>
        <v>212441.60000000001</v>
      </c>
      <c r="N24" s="20">
        <v>2</v>
      </c>
      <c r="P24" s="198" t="s">
        <v>120</v>
      </c>
      <c r="Q24" s="195"/>
      <c r="R24" s="196">
        <f ca="1">R19</f>
        <v>37248158.205950901</v>
      </c>
    </row>
    <row r="25" spans="2:19">
      <c r="B25" s="180" t="s">
        <v>121</v>
      </c>
      <c r="G25" s="17">
        <v>50</v>
      </c>
      <c r="H25" s="180" t="s">
        <v>122</v>
      </c>
      <c r="J25" s="180" t="s">
        <v>31</v>
      </c>
      <c r="L25" s="277">
        <v>0.32</v>
      </c>
      <c r="M25" s="192">
        <f ca="1">G12*L25*N25</f>
        <v>206866.68204106559</v>
      </c>
      <c r="N25" s="397">
        <f>1.7529/100</f>
        <v>1.7528999999999999E-2</v>
      </c>
    </row>
    <row r="26" spans="2:19">
      <c r="B26" s="180" t="s">
        <v>123</v>
      </c>
      <c r="G26" s="19">
        <v>0.06</v>
      </c>
      <c r="J26" s="180" t="s">
        <v>146</v>
      </c>
      <c r="M26" s="192">
        <f ca="1">N26*$M$17</f>
        <v>86038.847999999998</v>
      </c>
      <c r="N26" s="21">
        <v>0.03</v>
      </c>
      <c r="P26" s="180" t="s">
        <v>124</v>
      </c>
      <c r="R26" s="220">
        <v>7.4999999999999997E-2</v>
      </c>
    </row>
    <row r="27" spans="2:19">
      <c r="B27" s="180" t="s">
        <v>125</v>
      </c>
      <c r="G27" s="22">
        <v>5.7500000000000002E-2</v>
      </c>
      <c r="J27" s="195" t="s">
        <v>126</v>
      </c>
      <c r="K27" s="195"/>
      <c r="L27" s="195"/>
      <c r="M27" s="196">
        <f ca="1">SUM(M22:M26)</f>
        <v>824009.53004106553</v>
      </c>
      <c r="N27" s="23">
        <v>4</v>
      </c>
    </row>
    <row r="28" spans="2:19">
      <c r="B28" s="180" t="s">
        <v>127</v>
      </c>
      <c r="G28" s="22">
        <v>5.5E-2</v>
      </c>
      <c r="N28" s="183"/>
    </row>
    <row r="29" spans="2:19">
      <c r="B29" s="180" t="s">
        <v>128</v>
      </c>
      <c r="G29" s="24">
        <v>0</v>
      </c>
      <c r="H29" s="180" t="s">
        <v>129</v>
      </c>
      <c r="J29" s="180" t="s">
        <v>130</v>
      </c>
      <c r="M29" s="192">
        <f ca="1">M19-M27</f>
        <v>1757155.9099589344</v>
      </c>
      <c r="N29" s="183"/>
    </row>
    <row r="30" spans="2:19">
      <c r="B30" s="180" t="s">
        <v>131</v>
      </c>
      <c r="G30" s="25">
        <v>9</v>
      </c>
      <c r="H30" s="180" t="s">
        <v>108</v>
      </c>
      <c r="M30" s="192"/>
      <c r="N30" s="183"/>
    </row>
    <row r="31" spans="2:19">
      <c r="B31" s="180" t="s">
        <v>66</v>
      </c>
      <c r="G31" s="19">
        <v>0</v>
      </c>
      <c r="J31" s="26"/>
      <c r="M31" s="192"/>
      <c r="N31" s="183"/>
    </row>
    <row r="32" spans="2:19">
      <c r="J32" s="26"/>
      <c r="N32" s="183"/>
    </row>
    <row r="33" spans="2:20">
      <c r="B33" s="5" t="s">
        <v>132</v>
      </c>
      <c r="C33" s="5"/>
      <c r="D33" s="5"/>
      <c r="E33" s="5"/>
      <c r="F33" s="5"/>
      <c r="G33" s="5"/>
      <c r="H33" s="5"/>
      <c r="I33" s="6"/>
      <c r="N33" s="183"/>
    </row>
    <row r="34" spans="2:20">
      <c r="B34" s="180" t="s">
        <v>133</v>
      </c>
      <c r="G34" s="19">
        <v>0.65</v>
      </c>
      <c r="H34" s="180" t="s">
        <v>134</v>
      </c>
      <c r="J34" s="16"/>
      <c r="N34" s="183"/>
    </row>
    <row r="35" spans="2:20">
      <c r="B35" s="180" t="s">
        <v>10</v>
      </c>
      <c r="G35" s="19">
        <v>0.05</v>
      </c>
      <c r="J35" s="16"/>
    </row>
    <row r="36" spans="2:20">
      <c r="B36" s="180" t="s">
        <v>81</v>
      </c>
      <c r="G36" s="50">
        <v>30</v>
      </c>
      <c r="H36" s="180" t="s">
        <v>135</v>
      </c>
    </row>
    <row r="37" spans="2:20">
      <c r="B37" s="180" t="s">
        <v>136</v>
      </c>
      <c r="G37" s="192">
        <f ca="1">G34*R19</f>
        <v>24211302.833868086</v>
      </c>
    </row>
    <row r="38" spans="2:20">
      <c r="B38" s="180" t="s">
        <v>137</v>
      </c>
      <c r="G38" s="192">
        <f ca="1">PMT(G35/12,G36*12,G37)</f>
        <v>-129971.50882515468</v>
      </c>
    </row>
    <row r="40" spans="2:20">
      <c r="B40" s="5" t="s">
        <v>51</v>
      </c>
      <c r="C40" s="5"/>
      <c r="D40" s="5"/>
      <c r="E40" s="5"/>
      <c r="F40" s="5"/>
      <c r="G40" s="27">
        <v>0</v>
      </c>
      <c r="H40" s="27">
        <f>G40+1</f>
        <v>1</v>
      </c>
      <c r="I40" s="27">
        <f t="shared" ref="I40:R40" si="0">H40+1</f>
        <v>2</v>
      </c>
      <c r="J40" s="27">
        <f t="shared" si="0"/>
        <v>3</v>
      </c>
      <c r="K40" s="27">
        <f t="shared" si="0"/>
        <v>4</v>
      </c>
      <c r="L40" s="27">
        <f t="shared" si="0"/>
        <v>5</v>
      </c>
      <c r="M40" s="27">
        <f t="shared" si="0"/>
        <v>6</v>
      </c>
      <c r="N40" s="27">
        <f t="shared" si="0"/>
        <v>7</v>
      </c>
      <c r="O40" s="27">
        <f t="shared" si="0"/>
        <v>8</v>
      </c>
      <c r="P40" s="27">
        <f t="shared" si="0"/>
        <v>9</v>
      </c>
      <c r="Q40" s="27">
        <f t="shared" si="0"/>
        <v>10</v>
      </c>
      <c r="R40" s="27">
        <f t="shared" si="0"/>
        <v>11</v>
      </c>
      <c r="S40" s="27"/>
      <c r="T40" s="27"/>
    </row>
    <row r="41" spans="2:20">
      <c r="B41" s="180" t="s">
        <v>52</v>
      </c>
      <c r="H41" s="199">
        <f t="shared" ref="H41:R41" si="1">1-$G$24</f>
        <v>0.9</v>
      </c>
      <c r="I41" s="199">
        <f t="shared" si="1"/>
        <v>0.9</v>
      </c>
      <c r="J41" s="199">
        <f t="shared" si="1"/>
        <v>0.9</v>
      </c>
      <c r="K41" s="199">
        <f t="shared" si="1"/>
        <v>0.9</v>
      </c>
      <c r="L41" s="199">
        <f t="shared" si="1"/>
        <v>0.9</v>
      </c>
      <c r="M41" s="199">
        <f t="shared" si="1"/>
        <v>0.9</v>
      </c>
      <c r="N41" s="199">
        <f t="shared" si="1"/>
        <v>0.9</v>
      </c>
      <c r="O41" s="199">
        <f t="shared" si="1"/>
        <v>0.9</v>
      </c>
      <c r="P41" s="199">
        <f t="shared" si="1"/>
        <v>0.9</v>
      </c>
      <c r="Q41" s="199">
        <f t="shared" si="1"/>
        <v>0.9</v>
      </c>
      <c r="R41" s="199">
        <f t="shared" si="1"/>
        <v>0.9</v>
      </c>
      <c r="S41" s="199"/>
      <c r="T41" s="199"/>
    </row>
    <row r="42" spans="2:20">
      <c r="T42" s="199"/>
    </row>
    <row r="43" spans="2:20">
      <c r="B43" s="180" t="s">
        <v>138</v>
      </c>
      <c r="G43" s="192">
        <f ca="1">-R19+G9+G10</f>
        <v>-31023534.348015007</v>
      </c>
      <c r="T43" s="199"/>
    </row>
    <row r="44" spans="2:20">
      <c r="I44" s="200"/>
      <c r="T44" s="199"/>
    </row>
    <row r="45" spans="2:20">
      <c r="B45" s="180" t="s">
        <v>47</v>
      </c>
      <c r="H45" s="192">
        <f t="shared" ref="H45:R45" ca="1" si="2">$M$17*(1+$G$22)^G40</f>
        <v>2867961.6</v>
      </c>
      <c r="I45" s="192">
        <f t="shared" ca="1" si="2"/>
        <v>2954000.4480000003</v>
      </c>
      <c r="J45" s="192">
        <f t="shared" ca="1" si="2"/>
        <v>3042620.4614399998</v>
      </c>
      <c r="K45" s="192">
        <f t="shared" ca="1" si="2"/>
        <v>3133899.0752832</v>
      </c>
      <c r="L45" s="192">
        <f t="shared" ca="1" si="2"/>
        <v>3227916.0475416956</v>
      </c>
      <c r="M45" s="192">
        <f t="shared" ca="1" si="2"/>
        <v>3324753.5289679468</v>
      </c>
      <c r="N45" s="192">
        <f t="shared" ca="1" si="2"/>
        <v>3424496.1348369853</v>
      </c>
      <c r="O45" s="192">
        <f t="shared" ca="1" si="2"/>
        <v>3527231.0188820949</v>
      </c>
      <c r="P45" s="192">
        <f t="shared" ca="1" si="2"/>
        <v>3633047.9494485571</v>
      </c>
      <c r="Q45" s="192">
        <f t="shared" ca="1" si="2"/>
        <v>3742039.3879320142</v>
      </c>
      <c r="R45" s="192">
        <f t="shared" ca="1" si="2"/>
        <v>3854300.5695699747</v>
      </c>
      <c r="S45" s="192"/>
      <c r="T45" s="199"/>
    </row>
    <row r="46" spans="2:20">
      <c r="C46" s="180" t="s">
        <v>60</v>
      </c>
      <c r="H46" s="192">
        <f ca="1">-(1-H41)*H45</f>
        <v>-286796.15999999997</v>
      </c>
      <c r="I46" s="192">
        <f t="shared" ref="I46:R46" ca="1" si="3">-(1-I41)*I45</f>
        <v>-295400.04479999997</v>
      </c>
      <c r="J46" s="192">
        <f t="shared" ca="1" si="3"/>
        <v>-304262.04614399991</v>
      </c>
      <c r="K46" s="192">
        <f t="shared" ca="1" si="3"/>
        <v>-313389.90752831992</v>
      </c>
      <c r="L46" s="192">
        <f t="shared" ca="1" si="3"/>
        <v>-322791.60475416947</v>
      </c>
      <c r="M46" s="192">
        <f t="shared" ca="1" si="3"/>
        <v>-332475.35289679462</v>
      </c>
      <c r="N46" s="192">
        <f t="shared" ca="1" si="3"/>
        <v>-342449.61348369846</v>
      </c>
      <c r="O46" s="192">
        <f t="shared" ca="1" si="3"/>
        <v>-352723.10188820941</v>
      </c>
      <c r="P46" s="192">
        <f t="shared" ca="1" si="3"/>
        <v>-363304.79494485562</v>
      </c>
      <c r="Q46" s="192">
        <f t="shared" ca="1" si="3"/>
        <v>-374203.93879320135</v>
      </c>
      <c r="R46" s="192">
        <f t="shared" ca="1" si="3"/>
        <v>-385430.05695699737</v>
      </c>
      <c r="S46" s="192"/>
      <c r="T46" s="199"/>
    </row>
    <row r="47" spans="2:20">
      <c r="C47" s="180" t="s">
        <v>128</v>
      </c>
      <c r="H47" s="192">
        <v>0</v>
      </c>
      <c r="I47" s="192">
        <v>0</v>
      </c>
      <c r="J47" s="192">
        <v>0</v>
      </c>
      <c r="K47" s="192">
        <v>0</v>
      </c>
      <c r="L47" s="192">
        <v>0</v>
      </c>
      <c r="M47" s="192">
        <v>0</v>
      </c>
      <c r="N47" s="192">
        <v>0</v>
      </c>
      <c r="O47" s="192">
        <v>0</v>
      </c>
      <c r="P47" s="192">
        <v>0</v>
      </c>
      <c r="Q47" s="192">
        <v>0</v>
      </c>
      <c r="R47" s="192">
        <v>0</v>
      </c>
      <c r="S47" s="192"/>
      <c r="T47" s="199"/>
    </row>
    <row r="48" spans="2:20">
      <c r="B48" s="195" t="s">
        <v>61</v>
      </c>
      <c r="C48" s="195"/>
      <c r="D48" s="195"/>
      <c r="E48" s="195"/>
      <c r="F48" s="195"/>
      <c r="G48" s="195"/>
      <c r="H48" s="196">
        <f ca="1">SUM(H45:H47)</f>
        <v>2581165.44</v>
      </c>
      <c r="I48" s="196">
        <f t="shared" ref="I48:R48" ca="1" si="4">SUM(I45:I47)</f>
        <v>2658600.4032000005</v>
      </c>
      <c r="J48" s="196">
        <f t="shared" ca="1" si="4"/>
        <v>2738358.415296</v>
      </c>
      <c r="K48" s="196">
        <f t="shared" ca="1" si="4"/>
        <v>2820509.1677548802</v>
      </c>
      <c r="L48" s="196">
        <f t="shared" ca="1" si="4"/>
        <v>2905124.4427875262</v>
      </c>
      <c r="M48" s="196">
        <f t="shared" ca="1" si="4"/>
        <v>2992278.1760711521</v>
      </c>
      <c r="N48" s="196">
        <f t="shared" ca="1" si="4"/>
        <v>3082046.5213532867</v>
      </c>
      <c r="O48" s="196">
        <f t="shared" ca="1" si="4"/>
        <v>3174507.9169938853</v>
      </c>
      <c r="P48" s="196">
        <f t="shared" ca="1" si="4"/>
        <v>3269743.1545037013</v>
      </c>
      <c r="Q48" s="196">
        <f t="shared" ca="1" si="4"/>
        <v>3367835.4491388127</v>
      </c>
      <c r="R48" s="196">
        <f t="shared" ca="1" si="4"/>
        <v>3468870.5126129771</v>
      </c>
      <c r="S48" s="196"/>
      <c r="T48" s="199"/>
    </row>
    <row r="49" spans="2:20">
      <c r="T49" s="199"/>
    </row>
    <row r="50" spans="2:20">
      <c r="B50" s="180" t="s">
        <v>62</v>
      </c>
      <c r="T50" s="199"/>
    </row>
    <row r="51" spans="2:20">
      <c r="C51" s="180" t="str">
        <f>J22</f>
        <v>Repairs and Maintenance</v>
      </c>
      <c r="H51" s="192">
        <f t="shared" ref="H51:R54" ca="1" si="5">$M22*(1+$G$23)^G$40</f>
        <v>159331.20000000001</v>
      </c>
      <c r="I51" s="192">
        <f t="shared" ca="1" si="5"/>
        <v>162517.82400000002</v>
      </c>
      <c r="J51" s="192">
        <f t="shared" ca="1" si="5"/>
        <v>165768.18048000001</v>
      </c>
      <c r="K51" s="192">
        <f t="shared" ca="1" si="5"/>
        <v>169083.54408960001</v>
      </c>
      <c r="L51" s="192">
        <f t="shared" ca="1" si="5"/>
        <v>172465.21497139201</v>
      </c>
      <c r="M51" s="192">
        <f t="shared" ca="1" si="5"/>
        <v>175914.51927081984</v>
      </c>
      <c r="N51" s="192">
        <f t="shared" ca="1" si="5"/>
        <v>179432.80965623626</v>
      </c>
      <c r="O51" s="192">
        <f t="shared" ca="1" si="5"/>
        <v>183021.46584936095</v>
      </c>
      <c r="P51" s="192">
        <f t="shared" ca="1" si="5"/>
        <v>186681.89516634817</v>
      </c>
      <c r="Q51" s="192">
        <f t="shared" ca="1" si="5"/>
        <v>190415.53306967515</v>
      </c>
      <c r="R51" s="192">
        <f t="shared" ca="1" si="5"/>
        <v>194223.84373106866</v>
      </c>
      <c r="S51" s="192"/>
      <c r="T51" s="199"/>
    </row>
    <row r="52" spans="2:20">
      <c r="C52" s="180" t="str">
        <f>J23</f>
        <v>Administrative</v>
      </c>
      <c r="H52" s="192">
        <f t="shared" ca="1" si="5"/>
        <v>159331.20000000001</v>
      </c>
      <c r="I52" s="192">
        <f t="shared" ca="1" si="5"/>
        <v>162517.82400000002</v>
      </c>
      <c r="J52" s="192">
        <f t="shared" ca="1" si="5"/>
        <v>165768.18048000001</v>
      </c>
      <c r="K52" s="192">
        <f t="shared" ca="1" si="5"/>
        <v>169083.54408960001</v>
      </c>
      <c r="L52" s="192">
        <f t="shared" ca="1" si="5"/>
        <v>172465.21497139201</v>
      </c>
      <c r="M52" s="192">
        <f t="shared" ca="1" si="5"/>
        <v>175914.51927081984</v>
      </c>
      <c r="N52" s="192">
        <f t="shared" ca="1" si="5"/>
        <v>179432.80965623626</v>
      </c>
      <c r="O52" s="192">
        <f t="shared" ca="1" si="5"/>
        <v>183021.46584936095</v>
      </c>
      <c r="P52" s="192">
        <f t="shared" ca="1" si="5"/>
        <v>186681.89516634817</v>
      </c>
      <c r="Q52" s="192">
        <f t="shared" ca="1" si="5"/>
        <v>190415.53306967515</v>
      </c>
      <c r="R52" s="192">
        <f t="shared" ca="1" si="5"/>
        <v>194223.84373106866</v>
      </c>
      <c r="S52" s="192"/>
      <c r="T52" s="199"/>
    </row>
    <row r="53" spans="2:20">
      <c r="C53" s="180" t="str">
        <f>J24</f>
        <v>Utilities</v>
      </c>
      <c r="H53" s="192">
        <f t="shared" ca="1" si="5"/>
        <v>212441.60000000001</v>
      </c>
      <c r="I53" s="192">
        <f t="shared" ca="1" si="5"/>
        <v>216690.432</v>
      </c>
      <c r="J53" s="192">
        <f t="shared" ca="1" si="5"/>
        <v>221024.24064</v>
      </c>
      <c r="K53" s="192">
        <f t="shared" ca="1" si="5"/>
        <v>225444.72545279999</v>
      </c>
      <c r="L53" s="192">
        <f t="shared" ca="1" si="5"/>
        <v>229953.61996185599</v>
      </c>
      <c r="M53" s="192">
        <f t="shared" ca="1" si="5"/>
        <v>234552.69236109313</v>
      </c>
      <c r="N53" s="192">
        <f t="shared" ca="1" si="5"/>
        <v>239243.74620831502</v>
      </c>
      <c r="O53" s="192">
        <f t="shared" ca="1" si="5"/>
        <v>244028.62113248126</v>
      </c>
      <c r="P53" s="192">
        <f t="shared" ca="1" si="5"/>
        <v>248909.19355513089</v>
      </c>
      <c r="Q53" s="192">
        <f t="shared" ca="1" si="5"/>
        <v>253887.37742623352</v>
      </c>
      <c r="R53" s="192">
        <f t="shared" ca="1" si="5"/>
        <v>258965.12497475819</v>
      </c>
      <c r="S53" s="192"/>
      <c r="T53" s="199"/>
    </row>
    <row r="54" spans="2:20">
      <c r="C54" s="180" t="str">
        <f>J25</f>
        <v>Real Estate Taxes</v>
      </c>
      <c r="H54" s="192">
        <f t="shared" ca="1" si="5"/>
        <v>206866.68204106559</v>
      </c>
      <c r="I54" s="192">
        <f t="shared" ca="1" si="5"/>
        <v>211004.0156818869</v>
      </c>
      <c r="J54" s="192">
        <f t="shared" ca="1" si="5"/>
        <v>215224.09599552464</v>
      </c>
      <c r="K54" s="192">
        <f t="shared" ca="1" si="5"/>
        <v>219528.57791543513</v>
      </c>
      <c r="L54" s="192">
        <f t="shared" ca="1" si="5"/>
        <v>223919.14947374383</v>
      </c>
      <c r="M54" s="192">
        <f t="shared" ca="1" si="5"/>
        <v>228397.53246321873</v>
      </c>
      <c r="N54" s="192">
        <f t="shared" ca="1" si="5"/>
        <v>232965.48311248311</v>
      </c>
      <c r="O54" s="192">
        <f t="shared" ca="1" si="5"/>
        <v>237624.79277473272</v>
      </c>
      <c r="P54" s="192">
        <f t="shared" ca="1" si="5"/>
        <v>242377.28863022738</v>
      </c>
      <c r="Q54" s="192">
        <f t="shared" ca="1" si="5"/>
        <v>247224.83440283194</v>
      </c>
      <c r="R54" s="192">
        <f t="shared" ca="1" si="5"/>
        <v>252169.33109088859</v>
      </c>
      <c r="S54" s="192"/>
      <c r="T54" s="199"/>
    </row>
    <row r="55" spans="2:20">
      <c r="C55" s="180" t="str">
        <f>J26</f>
        <v>Property Mgmt Fee (% gross revs)</v>
      </c>
      <c r="H55" s="192">
        <f t="shared" ref="H55:R55" ca="1" si="6">H45*$N$26</f>
        <v>86038.847999999998</v>
      </c>
      <c r="I55" s="192">
        <f t="shared" ca="1" si="6"/>
        <v>88620.01344000001</v>
      </c>
      <c r="J55" s="192">
        <f t="shared" ca="1" si="6"/>
        <v>91278.613843199986</v>
      </c>
      <c r="K55" s="192">
        <f t="shared" ca="1" si="6"/>
        <v>94016.972258495996</v>
      </c>
      <c r="L55" s="192">
        <f t="shared" ca="1" si="6"/>
        <v>96837.481426250859</v>
      </c>
      <c r="M55" s="192">
        <f t="shared" ca="1" si="6"/>
        <v>99742.605869038394</v>
      </c>
      <c r="N55" s="192">
        <f t="shared" ca="1" si="6"/>
        <v>102734.88404510956</v>
      </c>
      <c r="O55" s="192">
        <f t="shared" ca="1" si="6"/>
        <v>105816.93056646285</v>
      </c>
      <c r="P55" s="192">
        <f t="shared" ca="1" si="6"/>
        <v>108991.4384834567</v>
      </c>
      <c r="Q55" s="192">
        <f t="shared" ca="1" si="6"/>
        <v>112261.18163796043</v>
      </c>
      <c r="R55" s="192">
        <f t="shared" ca="1" si="6"/>
        <v>115629.01708709923</v>
      </c>
      <c r="S55" s="192"/>
      <c r="T55" s="199"/>
    </row>
    <row r="56" spans="2:20">
      <c r="B56" s="195" t="s">
        <v>126</v>
      </c>
      <c r="C56" s="195"/>
      <c r="D56" s="195"/>
      <c r="E56" s="195"/>
      <c r="F56" s="195"/>
      <c r="G56" s="195"/>
      <c r="H56" s="196">
        <f t="shared" ref="H56:R56" ca="1" si="7">SUM(H51:H55)</f>
        <v>824009.53004106553</v>
      </c>
      <c r="I56" s="196">
        <f t="shared" ca="1" si="7"/>
        <v>841350.10912188701</v>
      </c>
      <c r="J56" s="196">
        <f t="shared" ca="1" si="7"/>
        <v>859063.31143872475</v>
      </c>
      <c r="K56" s="196">
        <f t="shared" ca="1" si="7"/>
        <v>877157.36380593118</v>
      </c>
      <c r="L56" s="196">
        <f t="shared" ca="1" si="7"/>
        <v>895640.68080463482</v>
      </c>
      <c r="M56" s="196">
        <f t="shared" ca="1" si="7"/>
        <v>914521.86923498998</v>
      </c>
      <c r="N56" s="196">
        <f t="shared" ca="1" si="7"/>
        <v>933809.73267838033</v>
      </c>
      <c r="O56" s="196">
        <f t="shared" ca="1" si="7"/>
        <v>953513.27617239871</v>
      </c>
      <c r="P56" s="196">
        <f t="shared" ca="1" si="7"/>
        <v>973641.71100151131</v>
      </c>
      <c r="Q56" s="196">
        <f t="shared" ca="1" si="7"/>
        <v>994204.45960637624</v>
      </c>
      <c r="R56" s="196">
        <f t="shared" ca="1" si="7"/>
        <v>1015211.1606148833</v>
      </c>
      <c r="S56" s="196"/>
      <c r="T56" s="199"/>
    </row>
    <row r="57" spans="2:20">
      <c r="T57" s="199"/>
    </row>
    <row r="58" spans="2:20">
      <c r="B58" s="180" t="s">
        <v>64</v>
      </c>
      <c r="H58" s="192">
        <f t="shared" ref="H58:R58" ca="1" si="8">H48-H56</f>
        <v>1757155.9099589344</v>
      </c>
      <c r="I58" s="192">
        <f t="shared" ca="1" si="8"/>
        <v>1817250.2940781135</v>
      </c>
      <c r="J58" s="192">
        <f t="shared" ca="1" si="8"/>
        <v>1879295.1038572751</v>
      </c>
      <c r="K58" s="192">
        <f t="shared" ca="1" si="8"/>
        <v>1943351.8039489491</v>
      </c>
      <c r="L58" s="192">
        <f t="shared" ca="1" si="8"/>
        <v>2009483.7619828912</v>
      </c>
      <c r="M58" s="192">
        <f t="shared" ca="1" si="8"/>
        <v>2077756.3068361622</v>
      </c>
      <c r="N58" s="192">
        <f t="shared" ca="1" si="8"/>
        <v>2148236.7886749064</v>
      </c>
      <c r="O58" s="192">
        <f t="shared" ca="1" si="8"/>
        <v>2220994.6408214867</v>
      </c>
      <c r="P58" s="192">
        <f t="shared" ca="1" si="8"/>
        <v>2296101.4435021901</v>
      </c>
      <c r="Q58" s="192">
        <f t="shared" ca="1" si="8"/>
        <v>2373630.9895324362</v>
      </c>
      <c r="R58" s="192">
        <f t="shared" ca="1" si="8"/>
        <v>2453659.3519980935</v>
      </c>
      <c r="S58" s="192"/>
      <c r="T58" s="199"/>
    </row>
    <row r="59" spans="2:20">
      <c r="T59" s="199"/>
    </row>
    <row r="60" spans="2:20">
      <c r="B60" s="180" t="s">
        <v>139</v>
      </c>
    </row>
    <row r="61" spans="2:20">
      <c r="C61" s="180" t="s">
        <v>140</v>
      </c>
      <c r="G61" s="192">
        <f ca="1">-IF($G$30=10,SUM(H93:R93)*G17,SUM(H93:L93)*$G$17)</f>
        <v>-913583.8579358937</v>
      </c>
    </row>
    <row r="62" spans="2:20">
      <c r="C62" s="180" t="s">
        <v>141</v>
      </c>
      <c r="G62" s="192">
        <f ca="1">-G25*G17</f>
        <v>-5311040</v>
      </c>
    </row>
    <row r="64" spans="2:20">
      <c r="B64" s="180" t="s">
        <v>142</v>
      </c>
      <c r="G64" s="192">
        <f ca="1">IF(G40&lt;=$G$30+1,G43+G58+SUM(G61:G62),0)</f>
        <v>-37248158.205950901</v>
      </c>
      <c r="H64" s="192">
        <f ca="1">IF(H40&lt;=$G$30+1,H43+H58+SUM(H61:H62),0)</f>
        <v>1757155.9099589344</v>
      </c>
      <c r="I64" s="192">
        <f t="shared" ref="I64:R64" ca="1" si="9">IF(I40&lt;=$G$30+1,I43+I58+SUM(I61:I62),0)</f>
        <v>1817250.2940781135</v>
      </c>
      <c r="J64" s="192">
        <f t="shared" ca="1" si="9"/>
        <v>1879295.1038572751</v>
      </c>
      <c r="K64" s="192">
        <f t="shared" ca="1" si="9"/>
        <v>1943351.8039489491</v>
      </c>
      <c r="L64" s="192">
        <f t="shared" ca="1" si="9"/>
        <v>2009483.7619828912</v>
      </c>
      <c r="M64" s="192">
        <f t="shared" ca="1" si="9"/>
        <v>2077756.3068361622</v>
      </c>
      <c r="N64" s="192">
        <f t="shared" ca="1" si="9"/>
        <v>2148236.7886749064</v>
      </c>
      <c r="O64" s="192">
        <f t="shared" ca="1" si="9"/>
        <v>2220994.6408214867</v>
      </c>
      <c r="P64" s="192">
        <f t="shared" ca="1" si="9"/>
        <v>2296101.4435021901</v>
      </c>
      <c r="Q64" s="192">
        <f t="shared" ca="1" si="9"/>
        <v>2373630.9895324362</v>
      </c>
      <c r="R64" s="192">
        <f t="shared" si="9"/>
        <v>0</v>
      </c>
      <c r="S64" s="192"/>
      <c r="T64" s="192"/>
    </row>
    <row r="65" spans="2:20"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</row>
    <row r="66" spans="2:20">
      <c r="B66" s="180" t="s">
        <v>65</v>
      </c>
      <c r="H66" s="192">
        <f t="shared" ref="H66:R66" si="10">IF(H40=$G$30,I64/$G$28,0)</f>
        <v>0</v>
      </c>
      <c r="I66" s="192">
        <f t="shared" si="10"/>
        <v>0</v>
      </c>
      <c r="J66" s="192">
        <f t="shared" si="10"/>
        <v>0</v>
      </c>
      <c r="K66" s="192">
        <f t="shared" si="10"/>
        <v>0</v>
      </c>
      <c r="L66" s="192">
        <f t="shared" si="10"/>
        <v>0</v>
      </c>
      <c r="M66" s="192">
        <f t="shared" si="10"/>
        <v>0</v>
      </c>
      <c r="N66" s="192">
        <f t="shared" si="10"/>
        <v>0</v>
      </c>
      <c r="O66" s="192">
        <f t="shared" si="10"/>
        <v>0</v>
      </c>
      <c r="P66" s="192">
        <f t="shared" ca="1" si="10"/>
        <v>43156927.082407929</v>
      </c>
      <c r="Q66" s="192">
        <f t="shared" si="10"/>
        <v>0</v>
      </c>
      <c r="R66" s="192">
        <f t="shared" si="10"/>
        <v>0</v>
      </c>
      <c r="S66" s="192"/>
      <c r="T66" s="192"/>
    </row>
    <row r="67" spans="2:20">
      <c r="B67" s="180" t="s">
        <v>66</v>
      </c>
      <c r="H67" s="192">
        <f>-H66*$G$31</f>
        <v>0</v>
      </c>
      <c r="I67" s="192">
        <f t="shared" ref="I67:R67" si="11">-I66*$G$31</f>
        <v>0</v>
      </c>
      <c r="J67" s="192">
        <f t="shared" si="11"/>
        <v>0</v>
      </c>
      <c r="K67" s="192">
        <f t="shared" si="11"/>
        <v>0</v>
      </c>
      <c r="L67" s="192">
        <f t="shared" si="11"/>
        <v>0</v>
      </c>
      <c r="M67" s="192">
        <f t="shared" si="11"/>
        <v>0</v>
      </c>
      <c r="N67" s="192">
        <f t="shared" si="11"/>
        <v>0</v>
      </c>
      <c r="O67" s="192">
        <f t="shared" si="11"/>
        <v>0</v>
      </c>
      <c r="P67" s="192">
        <f t="shared" ca="1" si="11"/>
        <v>0</v>
      </c>
      <c r="Q67" s="192">
        <f t="shared" si="11"/>
        <v>0</v>
      </c>
      <c r="R67" s="192">
        <f t="shared" si="11"/>
        <v>0</v>
      </c>
      <c r="S67" s="192"/>
      <c r="T67" s="192"/>
    </row>
    <row r="68" spans="2:20">
      <c r="B68" s="201" t="s">
        <v>67</v>
      </c>
      <c r="C68" s="201"/>
      <c r="D68" s="201"/>
      <c r="E68" s="201"/>
      <c r="F68" s="201"/>
      <c r="G68" s="202">
        <f ca="1">SUM(G64:G67)</f>
        <v>-37248158.205950901</v>
      </c>
      <c r="H68" s="202">
        <f t="shared" ref="H68:R68" ca="1" si="12">SUM(H64:H67)</f>
        <v>1757155.9099589344</v>
      </c>
      <c r="I68" s="202">
        <f t="shared" ca="1" si="12"/>
        <v>1817250.2940781135</v>
      </c>
      <c r="J68" s="202">
        <f t="shared" ca="1" si="12"/>
        <v>1879295.1038572751</v>
      </c>
      <c r="K68" s="202">
        <f t="shared" ca="1" si="12"/>
        <v>1943351.8039489491</v>
      </c>
      <c r="L68" s="202">
        <f t="shared" ca="1" si="12"/>
        <v>2009483.7619828912</v>
      </c>
      <c r="M68" s="202">
        <f t="shared" ca="1" si="12"/>
        <v>2077756.3068361622</v>
      </c>
      <c r="N68" s="202">
        <f t="shared" ca="1" si="12"/>
        <v>2148236.7886749064</v>
      </c>
      <c r="O68" s="202">
        <f t="shared" ca="1" si="12"/>
        <v>2220994.6408214867</v>
      </c>
      <c r="P68" s="202">
        <f t="shared" ca="1" si="12"/>
        <v>45453028.525910117</v>
      </c>
      <c r="Q68" s="202">
        <f t="shared" ca="1" si="12"/>
        <v>2373630.9895324362</v>
      </c>
      <c r="R68" s="202">
        <f t="shared" si="12"/>
        <v>0</v>
      </c>
      <c r="S68" s="196"/>
      <c r="T68" s="192"/>
    </row>
    <row r="69" spans="2:20" ht="16" thickBot="1"/>
    <row r="70" spans="2:20">
      <c r="B70" s="203" t="s">
        <v>68</v>
      </c>
      <c r="C70" s="204"/>
      <c r="D70" s="204"/>
      <c r="E70" s="204"/>
      <c r="F70" s="204"/>
      <c r="G70" s="205">
        <f ca="1">SUM(G68:R68)</f>
        <v>26432025.919650372</v>
      </c>
    </row>
    <row r="71" spans="2:20">
      <c r="B71" s="206" t="s">
        <v>69</v>
      </c>
      <c r="G71" s="207">
        <f ca="1">NPV($R$26,H68:R68)</f>
        <v>36320457.016916446</v>
      </c>
    </row>
    <row r="72" spans="2:20">
      <c r="B72" s="206" t="s">
        <v>70</v>
      </c>
      <c r="G72" s="207">
        <f ca="1">G71+G68</f>
        <v>-927701.18903445452</v>
      </c>
    </row>
    <row r="73" spans="2:20">
      <c r="B73" s="206" t="s">
        <v>71</v>
      </c>
      <c r="G73" s="208">
        <f ca="1">IRR(G68:R68)</f>
        <v>7.141881080935919E-2</v>
      </c>
    </row>
    <row r="74" spans="2:20" ht="16" thickBot="1">
      <c r="B74" s="209" t="s">
        <v>72</v>
      </c>
      <c r="C74" s="210"/>
      <c r="D74" s="210"/>
      <c r="E74" s="210"/>
      <c r="F74" s="210"/>
      <c r="G74" s="211">
        <f ca="1">(G70/-G68)+1</f>
        <v>1.7096196749783859</v>
      </c>
    </row>
    <row r="76" spans="2:20">
      <c r="B76" s="180" t="s">
        <v>73</v>
      </c>
      <c r="G76" s="192">
        <f ca="1">G37</f>
        <v>24211302.833868086</v>
      </c>
    </row>
    <row r="77" spans="2:20">
      <c r="B77" s="180" t="s">
        <v>74</v>
      </c>
      <c r="H77" s="192">
        <f t="shared" ref="H77:R77" si="13">IF(H40=$G$30,FV($G$35/12,H40*12,$G$38,$G$37),0)</f>
        <v>0</v>
      </c>
      <c r="I77" s="192">
        <f t="shared" si="13"/>
        <v>0</v>
      </c>
      <c r="J77" s="192">
        <f t="shared" si="13"/>
        <v>0</v>
      </c>
      <c r="K77" s="192">
        <f t="shared" si="13"/>
        <v>0</v>
      </c>
      <c r="L77" s="192">
        <f t="shared" si="13"/>
        <v>0</v>
      </c>
      <c r="M77" s="192">
        <f t="shared" si="13"/>
        <v>0</v>
      </c>
      <c r="N77" s="192">
        <f t="shared" si="13"/>
        <v>0</v>
      </c>
      <c r="O77" s="192">
        <f t="shared" si="13"/>
        <v>0</v>
      </c>
      <c r="P77" s="192">
        <f t="shared" ca="1" si="13"/>
        <v>-20253659.291939363</v>
      </c>
      <c r="Q77" s="192">
        <f t="shared" si="13"/>
        <v>0</v>
      </c>
      <c r="R77" s="192">
        <f t="shared" si="13"/>
        <v>0</v>
      </c>
      <c r="S77" s="192"/>
      <c r="T77" s="192"/>
    </row>
    <row r="78" spans="2:20">
      <c r="B78" s="180" t="s">
        <v>75</v>
      </c>
      <c r="H78" s="192">
        <f ca="1">IF(H40&lt;=$G$30,$G$38*12,0)</f>
        <v>-1559658.1059018562</v>
      </c>
      <c r="I78" s="192">
        <f t="shared" ref="I78:R78" ca="1" si="14">IF(I40&lt;=$G$30,$G$38*12,0)</f>
        <v>-1559658.1059018562</v>
      </c>
      <c r="J78" s="192">
        <f t="shared" ca="1" si="14"/>
        <v>-1559658.1059018562</v>
      </c>
      <c r="K78" s="192">
        <f t="shared" ca="1" si="14"/>
        <v>-1559658.1059018562</v>
      </c>
      <c r="L78" s="192">
        <f t="shared" ca="1" si="14"/>
        <v>-1559658.1059018562</v>
      </c>
      <c r="M78" s="192">
        <f t="shared" ca="1" si="14"/>
        <v>-1559658.1059018562</v>
      </c>
      <c r="N78" s="192">
        <f t="shared" ca="1" si="14"/>
        <v>-1559658.1059018562</v>
      </c>
      <c r="O78" s="192">
        <f t="shared" ca="1" si="14"/>
        <v>-1559658.1059018562</v>
      </c>
      <c r="P78" s="192">
        <f t="shared" ca="1" si="14"/>
        <v>-1559658.1059018562</v>
      </c>
      <c r="Q78" s="192">
        <f t="shared" si="14"/>
        <v>0</v>
      </c>
      <c r="R78" s="192">
        <f t="shared" si="14"/>
        <v>0</v>
      </c>
      <c r="S78" s="192"/>
      <c r="T78" s="192"/>
    </row>
    <row r="79" spans="2:20">
      <c r="B79" s="325" t="s">
        <v>438</v>
      </c>
      <c r="H79" s="219">
        <f t="shared" ref="H79:Q79" ca="1" si="15">SUM(H77:H78)</f>
        <v>-1559658.1059018562</v>
      </c>
      <c r="I79" s="219">
        <f t="shared" ca="1" si="15"/>
        <v>-1559658.1059018562</v>
      </c>
      <c r="J79" s="219">
        <f t="shared" ca="1" si="15"/>
        <v>-1559658.1059018562</v>
      </c>
      <c r="K79" s="219">
        <f t="shared" ca="1" si="15"/>
        <v>-1559658.1059018562</v>
      </c>
      <c r="L79" s="219">
        <f t="shared" ca="1" si="15"/>
        <v>-1559658.1059018562</v>
      </c>
      <c r="M79" s="219">
        <f t="shared" ca="1" si="15"/>
        <v>-1559658.1059018562</v>
      </c>
      <c r="N79" s="219">
        <f t="shared" ca="1" si="15"/>
        <v>-1559658.1059018562</v>
      </c>
      <c r="O79" s="219">
        <f t="shared" ca="1" si="15"/>
        <v>-1559658.1059018562</v>
      </c>
      <c r="P79" s="219">
        <f t="shared" ca="1" si="15"/>
        <v>-21813317.397841219</v>
      </c>
      <c r="Q79" s="219">
        <f t="shared" si="15"/>
        <v>0</v>
      </c>
    </row>
    <row r="80" spans="2:20">
      <c r="B80" s="212" t="s">
        <v>76</v>
      </c>
      <c r="C80" s="212"/>
      <c r="D80" s="212"/>
      <c r="E80" s="212"/>
      <c r="F80" s="212"/>
      <c r="G80" s="213">
        <f t="shared" ref="G80:R80" ca="1" si="16">IF(G40&lt;=$G$30,SUM(G68,G76:G78),0)</f>
        <v>-13036855.372082815</v>
      </c>
      <c r="H80" s="213">
        <f t="shared" ca="1" si="16"/>
        <v>197497.8040570782</v>
      </c>
      <c r="I80" s="213">
        <f t="shared" ca="1" si="16"/>
        <v>257592.1881762573</v>
      </c>
      <c r="J80" s="213">
        <f t="shared" ca="1" si="16"/>
        <v>319636.99795541889</v>
      </c>
      <c r="K80" s="213">
        <f t="shared" ca="1" si="16"/>
        <v>383693.69804709288</v>
      </c>
      <c r="L80" s="213">
        <f t="shared" ca="1" si="16"/>
        <v>449825.65608103503</v>
      </c>
      <c r="M80" s="213">
        <f t="shared" ca="1" si="16"/>
        <v>518098.20093430602</v>
      </c>
      <c r="N80" s="213">
        <f t="shared" ca="1" si="16"/>
        <v>588578.68277305015</v>
      </c>
      <c r="O80" s="213">
        <f t="shared" ca="1" si="16"/>
        <v>661336.5349196305</v>
      </c>
      <c r="P80" s="213">
        <f t="shared" ca="1" si="16"/>
        <v>23639711.128068898</v>
      </c>
      <c r="Q80" s="213">
        <f t="shared" si="16"/>
        <v>0</v>
      </c>
      <c r="R80" s="213">
        <f t="shared" si="16"/>
        <v>0</v>
      </c>
      <c r="S80" s="192"/>
      <c r="T80" s="192"/>
    </row>
    <row r="81" spans="1:20" ht="16" thickBot="1"/>
    <row r="82" spans="1:20">
      <c r="B82" s="203" t="s">
        <v>68</v>
      </c>
      <c r="C82" s="204"/>
      <c r="D82" s="204"/>
      <c r="E82" s="204"/>
      <c r="F82" s="204"/>
      <c r="G82" s="205">
        <f ca="1">SUM(G80:R80)</f>
        <v>13979115.518929953</v>
      </c>
    </row>
    <row r="83" spans="1:20">
      <c r="B83" s="206" t="s">
        <v>69</v>
      </c>
      <c r="G83" s="207">
        <f ca="1">NPV($R$26,H80:R80)</f>
        <v>14655928.860504668</v>
      </c>
    </row>
    <row r="84" spans="1:20">
      <c r="B84" s="206" t="s">
        <v>70</v>
      </c>
      <c r="G84" s="207">
        <f ca="1">G83+G80</f>
        <v>1619073.4884218536</v>
      </c>
    </row>
    <row r="85" spans="1:20">
      <c r="B85" s="206" t="s">
        <v>77</v>
      </c>
      <c r="G85" s="214">
        <f ca="1">IRR(G80:R80)</f>
        <v>9.0194010972780347E-2</v>
      </c>
    </row>
    <row r="86" spans="1:20" ht="16" thickBot="1">
      <c r="B86" s="209" t="s">
        <v>72</v>
      </c>
      <c r="C86" s="210"/>
      <c r="D86" s="210"/>
      <c r="E86" s="210"/>
      <c r="F86" s="210"/>
      <c r="G86" s="211">
        <f ca="1">(G82/-G80)+1</f>
        <v>2.0722766434047353</v>
      </c>
    </row>
    <row r="88" spans="1:20">
      <c r="A88" s="40"/>
      <c r="B88" s="5" t="s">
        <v>143</v>
      </c>
      <c r="C88" s="5"/>
      <c r="D88" s="5"/>
      <c r="E88" s="5"/>
      <c r="F88" s="5"/>
      <c r="G88" s="5"/>
      <c r="H88" s="27">
        <f t="shared" ref="H88:R88" si="17">H40</f>
        <v>1</v>
      </c>
      <c r="I88" s="27">
        <f t="shared" si="17"/>
        <v>2</v>
      </c>
      <c r="J88" s="27">
        <f t="shared" si="17"/>
        <v>3</v>
      </c>
      <c r="K88" s="27">
        <f t="shared" si="17"/>
        <v>4</v>
      </c>
      <c r="L88" s="27">
        <f t="shared" si="17"/>
        <v>5</v>
      </c>
      <c r="M88" s="27">
        <f t="shared" si="17"/>
        <v>6</v>
      </c>
      <c r="N88" s="27">
        <f t="shared" si="17"/>
        <v>7</v>
      </c>
      <c r="O88" s="27">
        <f t="shared" si="17"/>
        <v>8</v>
      </c>
      <c r="P88" s="27">
        <f t="shared" si="17"/>
        <v>9</v>
      </c>
      <c r="Q88" s="27">
        <f t="shared" si="17"/>
        <v>10</v>
      </c>
      <c r="R88" s="27">
        <f t="shared" si="17"/>
        <v>11</v>
      </c>
      <c r="S88" s="27"/>
      <c r="T88" s="27"/>
    </row>
    <row r="89" spans="1:20">
      <c r="B89" s="180" t="s">
        <v>144</v>
      </c>
      <c r="H89" s="193">
        <f t="shared" ref="H89:R89" ca="1" si="18">H45/$G$17</f>
        <v>27</v>
      </c>
      <c r="I89" s="193">
        <f t="shared" ca="1" si="18"/>
        <v>27.810000000000002</v>
      </c>
      <c r="J89" s="193">
        <f t="shared" ca="1" si="18"/>
        <v>28.644299999999998</v>
      </c>
      <c r="K89" s="193">
        <f t="shared" ca="1" si="18"/>
        <v>29.503629</v>
      </c>
      <c r="L89" s="193">
        <f t="shared" ca="1" si="18"/>
        <v>30.388737869999996</v>
      </c>
      <c r="M89" s="193">
        <f t="shared" ca="1" si="18"/>
        <v>31.300400006099999</v>
      </c>
      <c r="N89" s="193">
        <f t="shared" ca="1" si="18"/>
        <v>32.239412006282997</v>
      </c>
      <c r="O89" s="193">
        <f t="shared" ca="1" si="18"/>
        <v>33.206594366471492</v>
      </c>
      <c r="P89" s="193">
        <f t="shared" ca="1" si="18"/>
        <v>34.202792197465627</v>
      </c>
      <c r="Q89" s="193">
        <f t="shared" ca="1" si="18"/>
        <v>35.228875963389598</v>
      </c>
      <c r="R89" s="193">
        <f t="shared" ca="1" si="18"/>
        <v>36.285742242291292</v>
      </c>
      <c r="S89" s="193"/>
      <c r="T89" s="193"/>
    </row>
    <row r="90" spans="1:20">
      <c r="B90" s="180" t="s">
        <v>128</v>
      </c>
      <c r="H90" s="193">
        <f ca="1">H47/$G$17</f>
        <v>0</v>
      </c>
      <c r="I90" s="193">
        <f t="shared" ref="I90:R90" ca="1" si="19">I47/$G$17</f>
        <v>0</v>
      </c>
      <c r="J90" s="193">
        <f t="shared" ca="1" si="19"/>
        <v>0</v>
      </c>
      <c r="K90" s="193">
        <f t="shared" ca="1" si="19"/>
        <v>0</v>
      </c>
      <c r="L90" s="193">
        <f t="shared" ca="1" si="19"/>
        <v>0</v>
      </c>
      <c r="M90" s="193">
        <f t="shared" ca="1" si="19"/>
        <v>0</v>
      </c>
      <c r="N90" s="193">
        <f t="shared" ca="1" si="19"/>
        <v>0</v>
      </c>
      <c r="O90" s="193">
        <f t="shared" ca="1" si="19"/>
        <v>0</v>
      </c>
      <c r="P90" s="193">
        <f t="shared" ca="1" si="19"/>
        <v>0</v>
      </c>
      <c r="Q90" s="193">
        <f t="shared" ca="1" si="19"/>
        <v>0</v>
      </c>
      <c r="R90" s="193">
        <f t="shared" ca="1" si="19"/>
        <v>0</v>
      </c>
      <c r="S90" s="193"/>
      <c r="T90" s="193"/>
    </row>
    <row r="91" spans="1:20">
      <c r="B91" s="180" t="s">
        <v>37</v>
      </c>
      <c r="H91" s="193">
        <f ca="1">H89-H90</f>
        <v>27</v>
      </c>
      <c r="I91" s="193">
        <f t="shared" ref="I91:R91" ca="1" si="20">I89-I90</f>
        <v>27.810000000000002</v>
      </c>
      <c r="J91" s="193">
        <f t="shared" ca="1" si="20"/>
        <v>28.644299999999998</v>
      </c>
      <c r="K91" s="193">
        <f t="shared" ca="1" si="20"/>
        <v>29.503629</v>
      </c>
      <c r="L91" s="193">
        <f t="shared" ca="1" si="20"/>
        <v>30.388737869999996</v>
      </c>
      <c r="M91" s="193">
        <f t="shared" ca="1" si="20"/>
        <v>31.300400006099999</v>
      </c>
      <c r="N91" s="193">
        <f t="shared" ca="1" si="20"/>
        <v>32.239412006282997</v>
      </c>
      <c r="O91" s="193">
        <f t="shared" ca="1" si="20"/>
        <v>33.206594366471492</v>
      </c>
      <c r="P91" s="193">
        <f t="shared" ca="1" si="20"/>
        <v>34.202792197465627</v>
      </c>
      <c r="Q91" s="193">
        <f t="shared" ca="1" si="20"/>
        <v>35.228875963389598</v>
      </c>
      <c r="R91" s="193">
        <f t="shared" ca="1" si="20"/>
        <v>36.285742242291292</v>
      </c>
      <c r="S91" s="193"/>
      <c r="T91" s="193"/>
    </row>
    <row r="92" spans="1:20">
      <c r="B92" s="180" t="s">
        <v>145</v>
      </c>
      <c r="H92" s="199">
        <f>$G$26</f>
        <v>0.06</v>
      </c>
      <c r="I92" s="199">
        <f t="shared" ref="I92:R92" si="21">$G$26</f>
        <v>0.06</v>
      </c>
      <c r="J92" s="199">
        <f t="shared" si="21"/>
        <v>0.06</v>
      </c>
      <c r="K92" s="199">
        <f t="shared" si="21"/>
        <v>0.06</v>
      </c>
      <c r="L92" s="199">
        <f t="shared" si="21"/>
        <v>0.06</v>
      </c>
      <c r="M92" s="199">
        <f t="shared" si="21"/>
        <v>0.06</v>
      </c>
      <c r="N92" s="199">
        <f t="shared" si="21"/>
        <v>0.06</v>
      </c>
      <c r="O92" s="199">
        <f t="shared" si="21"/>
        <v>0.06</v>
      </c>
      <c r="P92" s="199">
        <f t="shared" si="21"/>
        <v>0.06</v>
      </c>
      <c r="Q92" s="199">
        <f t="shared" si="21"/>
        <v>0.06</v>
      </c>
      <c r="R92" s="199">
        <f t="shared" si="21"/>
        <v>0.06</v>
      </c>
      <c r="S92" s="199"/>
      <c r="T92" s="199"/>
    </row>
    <row r="93" spans="1:20">
      <c r="B93" s="180" t="s">
        <v>104</v>
      </c>
      <c r="H93" s="193">
        <f ca="1">H91*H92</f>
        <v>1.6199999999999999</v>
      </c>
      <c r="I93" s="193">
        <f t="shared" ref="I93:R93" ca="1" si="22">I91*I92</f>
        <v>1.6686000000000001</v>
      </c>
      <c r="J93" s="193">
        <f t="shared" ca="1" si="22"/>
        <v>1.7186579999999998</v>
      </c>
      <c r="K93" s="193">
        <f t="shared" ca="1" si="22"/>
        <v>1.7702177399999999</v>
      </c>
      <c r="L93" s="193">
        <f t="shared" ca="1" si="22"/>
        <v>1.8233242721999998</v>
      </c>
      <c r="M93" s="193">
        <f t="shared" ca="1" si="22"/>
        <v>1.8780240003659998</v>
      </c>
      <c r="N93" s="193">
        <f t="shared" ca="1" si="22"/>
        <v>1.9343647203769798</v>
      </c>
      <c r="O93" s="193">
        <f t="shared" ca="1" si="22"/>
        <v>1.9923956619882894</v>
      </c>
      <c r="P93" s="193">
        <f t="shared" ca="1" si="22"/>
        <v>2.0521675318479375</v>
      </c>
      <c r="Q93" s="193">
        <f t="shared" ca="1" si="22"/>
        <v>2.1137325578033757</v>
      </c>
      <c r="R93" s="193">
        <f t="shared" ca="1" si="22"/>
        <v>2.1771445345374776</v>
      </c>
      <c r="S93" s="193"/>
      <c r="T93" s="193"/>
    </row>
    <row r="95" spans="1:20">
      <c r="A95" s="215"/>
      <c r="B95" s="215"/>
      <c r="C95" s="215"/>
      <c r="D95" s="215"/>
      <c r="E95" s="215"/>
      <c r="F95" s="215"/>
      <c r="G95" s="215"/>
      <c r="H95" s="215"/>
      <c r="I95" s="215"/>
      <c r="J95" s="215"/>
      <c r="K95" s="215"/>
      <c r="L95" s="5"/>
      <c r="M95" s="5"/>
      <c r="N95" s="5"/>
      <c r="O95" s="5"/>
      <c r="P95" s="7"/>
      <c r="Q95" s="5"/>
      <c r="R95" s="5"/>
      <c r="S95" s="5"/>
      <c r="T95" s="5"/>
    </row>
    <row r="96" spans="1:20">
      <c r="A96" s="215"/>
      <c r="B96" s="215"/>
      <c r="C96" s="215"/>
      <c r="D96" s="215"/>
      <c r="E96" s="215"/>
      <c r="F96" s="215"/>
      <c r="G96" s="215"/>
      <c r="H96" s="215"/>
      <c r="I96" s="215"/>
      <c r="J96" s="215"/>
      <c r="K96" s="215"/>
    </row>
    <row r="97" spans="1:11">
      <c r="A97" s="215"/>
      <c r="B97" s="215"/>
      <c r="C97" s="215"/>
      <c r="D97" s="215"/>
      <c r="E97" s="215"/>
      <c r="F97" s="215"/>
      <c r="G97" s="215"/>
      <c r="H97" s="215"/>
      <c r="I97" s="215"/>
      <c r="J97" s="215"/>
      <c r="K97" s="215"/>
    </row>
    <row r="98" spans="1:11">
      <c r="A98" s="215"/>
      <c r="B98" s="215"/>
      <c r="C98" s="215"/>
      <c r="D98" s="215"/>
      <c r="E98" s="215"/>
      <c r="F98" s="215"/>
      <c r="G98" s="215"/>
      <c r="H98" s="215"/>
      <c r="I98" s="215"/>
      <c r="J98" s="215"/>
      <c r="K98" s="215"/>
    </row>
    <row r="99" spans="1:11">
      <c r="A99" s="215"/>
      <c r="B99" s="215"/>
      <c r="C99" s="215"/>
      <c r="D99" s="215"/>
      <c r="E99" s="215"/>
      <c r="F99" s="215"/>
      <c r="G99" s="215"/>
      <c r="H99" s="215"/>
      <c r="I99" s="215"/>
      <c r="J99" s="215"/>
      <c r="K99" s="215"/>
    </row>
    <row r="100" spans="1:11">
      <c r="A100" s="215"/>
      <c r="B100" s="215"/>
      <c r="C100" s="215"/>
      <c r="D100" s="215"/>
      <c r="E100" s="215"/>
      <c r="F100" s="215"/>
      <c r="G100" s="215"/>
      <c r="H100" s="215"/>
      <c r="I100" s="215"/>
      <c r="J100" s="215"/>
      <c r="K100" s="215"/>
    </row>
    <row r="101" spans="1:11">
      <c r="A101" s="215"/>
      <c r="B101" s="215"/>
      <c r="C101" s="215"/>
      <c r="D101" s="215"/>
      <c r="E101" s="215"/>
      <c r="F101" s="215"/>
      <c r="G101" s="215"/>
      <c r="H101" s="215"/>
      <c r="I101" s="215"/>
      <c r="J101" s="215"/>
      <c r="K101" s="215"/>
    </row>
    <row r="102" spans="1:11">
      <c r="A102" s="215"/>
      <c r="B102" s="215"/>
      <c r="C102" s="215"/>
      <c r="D102" s="215"/>
      <c r="E102" s="215"/>
      <c r="F102" s="215"/>
      <c r="G102" s="215"/>
      <c r="H102" s="215"/>
      <c r="I102" s="215"/>
      <c r="J102" s="215"/>
      <c r="K102" s="215"/>
    </row>
    <row r="103" spans="1:11">
      <c r="A103" s="215"/>
      <c r="B103" s="215"/>
      <c r="C103" s="215"/>
      <c r="D103" s="215"/>
      <c r="E103" s="215"/>
      <c r="F103" s="215"/>
      <c r="G103" s="215"/>
      <c r="H103" s="215"/>
      <c r="I103" s="215"/>
      <c r="J103" s="215"/>
      <c r="K103" s="215"/>
    </row>
    <row r="104" spans="1:11">
      <c r="A104" s="215"/>
      <c r="B104" s="215"/>
      <c r="C104" s="215"/>
      <c r="D104" s="215"/>
      <c r="E104" s="215"/>
      <c r="F104" s="215"/>
      <c r="G104" s="215"/>
      <c r="H104" s="215"/>
      <c r="I104" s="215"/>
      <c r="J104" s="215"/>
      <c r="K104" s="215"/>
    </row>
    <row r="105" spans="1:11">
      <c r="A105" s="215"/>
      <c r="B105" s="215"/>
      <c r="C105" s="215"/>
      <c r="D105" s="215"/>
      <c r="E105" s="215"/>
      <c r="F105" s="215"/>
      <c r="G105" s="215"/>
      <c r="H105" s="215"/>
      <c r="I105" s="215"/>
      <c r="J105" s="215"/>
      <c r="K105" s="215"/>
    </row>
    <row r="106" spans="1:11">
      <c r="A106" s="215"/>
      <c r="B106" s="215"/>
      <c r="C106" s="215"/>
      <c r="D106" s="215"/>
      <c r="E106" s="215"/>
      <c r="F106" s="215"/>
      <c r="G106" s="215"/>
      <c r="H106" s="215"/>
      <c r="I106" s="215"/>
      <c r="J106" s="215"/>
      <c r="K106" s="215"/>
    </row>
    <row r="107" spans="1:11">
      <c r="A107" s="215"/>
      <c r="B107" s="215"/>
      <c r="C107" s="215"/>
      <c r="D107" s="215"/>
      <c r="E107" s="215"/>
      <c r="F107" s="215"/>
      <c r="G107" s="215"/>
      <c r="H107" s="215"/>
      <c r="I107" s="215"/>
      <c r="J107" s="215"/>
      <c r="K107" s="215"/>
    </row>
  </sheetData>
  <pageMargins left="0.7" right="0.7" top="0.75" bottom="0.75" header="0.3" footer="0.3"/>
  <pageSetup scale="46" orientation="portrait" r:id="rId1"/>
  <headerFooter>
    <oddHeader xml:space="preserve">&amp;L2019 ULI Hines Student Competition&amp;R2019-331 &amp;A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57379-964C-497C-9514-CA593207434F}">
  <sheetPr>
    <tabColor theme="3"/>
  </sheetPr>
  <dimension ref="A3:T107"/>
  <sheetViews>
    <sheetView showGridLines="0" view="pageBreakPreview" zoomScale="85" zoomScaleNormal="100" zoomScaleSheetLayoutView="85" workbookViewId="0">
      <selection activeCell="A2" sqref="A2:A101"/>
    </sheetView>
  </sheetViews>
  <sheetFormatPr baseColWidth="10" defaultColWidth="8.83203125" defaultRowHeight="15"/>
  <cols>
    <col min="1" max="1" width="3.5" style="180" customWidth="1"/>
    <col min="2" max="2" width="1.6640625" style="180" customWidth="1"/>
    <col min="3" max="3" width="3" style="180" customWidth="1"/>
    <col min="4" max="4" width="1.6640625" style="180" customWidth="1"/>
    <col min="5" max="5" width="17.6640625" style="180" customWidth="1"/>
    <col min="6" max="6" width="8.83203125" style="180" customWidth="1"/>
    <col min="7" max="7" width="16.33203125" style="180" customWidth="1"/>
    <col min="8" max="8" width="13.5" style="180" bestFit="1" customWidth="1"/>
    <col min="9" max="9" width="12.33203125" style="180" bestFit="1" customWidth="1"/>
    <col min="10" max="10" width="13.6640625" style="180" bestFit="1" customWidth="1"/>
    <col min="11" max="12" width="12.5" style="180" bestFit="1" customWidth="1"/>
    <col min="13" max="14" width="12.33203125" style="180" bestFit="1" customWidth="1"/>
    <col min="15" max="15" width="12.1640625" style="180" bestFit="1" customWidth="1"/>
    <col min="16" max="16" width="13" style="183" customWidth="1"/>
    <col min="17" max="17" width="13" style="180" customWidth="1"/>
    <col min="18" max="18" width="13.1640625" style="180" customWidth="1"/>
    <col min="19" max="20" width="8.83203125" style="180"/>
    <col min="21" max="21" width="8.83203125" style="184"/>
    <col min="22" max="22" width="14.1640625" style="184" bestFit="1" customWidth="1"/>
    <col min="23" max="16384" width="8.83203125" style="184"/>
  </cols>
  <sheetData>
    <row r="3" spans="2:18">
      <c r="C3" s="45"/>
      <c r="D3" s="181" t="s">
        <v>41</v>
      </c>
      <c r="E3" s="181"/>
      <c r="F3" s="182" t="s">
        <v>425</v>
      </c>
      <c r="G3" s="182" t="s">
        <v>310</v>
      </c>
    </row>
    <row r="4" spans="2:18">
      <c r="C4" s="183"/>
      <c r="D4" s="185" t="s">
        <v>186</v>
      </c>
      <c r="E4" s="185"/>
      <c r="F4" s="186"/>
      <c r="G4" s="186">
        <f ca="1">Assumptions!U10</f>
        <v>320387.63529977115</v>
      </c>
    </row>
    <row r="5" spans="2:18">
      <c r="C5" s="183"/>
      <c r="D5" s="185" t="s">
        <v>422</v>
      </c>
      <c r="E5" s="185"/>
      <c r="F5" s="186">
        <f>Assumptions!E62</f>
        <v>158.22611280000001</v>
      </c>
      <c r="G5" s="186">
        <f ca="1">F5*$G$17</f>
        <v>16806904.282506242</v>
      </c>
    </row>
    <row r="6" spans="2:18">
      <c r="C6" s="183"/>
      <c r="D6" s="185" t="s">
        <v>423</v>
      </c>
      <c r="E6" s="185"/>
      <c r="F6" s="186">
        <f>Assumptions!G62</f>
        <v>23.733916920000002</v>
      </c>
      <c r="G6" s="186">
        <f ca="1">F6*$G$17</f>
        <v>2521035.6423759363</v>
      </c>
    </row>
    <row r="7" spans="2:18">
      <c r="C7" s="183"/>
      <c r="D7" s="185" t="s">
        <v>187</v>
      </c>
      <c r="E7" s="185"/>
      <c r="F7" s="186"/>
      <c r="G7" s="186">
        <f ca="1">Assumptions!V10</f>
        <v>778425.79097353376</v>
      </c>
    </row>
    <row r="8" spans="2:18">
      <c r="C8" s="183"/>
      <c r="D8" s="185" t="s">
        <v>424</v>
      </c>
      <c r="E8" s="185"/>
      <c r="F8" s="186">
        <f>Assumptions!E71</f>
        <v>12000</v>
      </c>
      <c r="G8" s="186">
        <f ca="1">F8*Assumptions!T10</f>
        <v>994684.44444444438</v>
      </c>
    </row>
    <row r="9" spans="2:18">
      <c r="C9" s="183"/>
      <c r="D9" s="185" t="s">
        <v>121</v>
      </c>
      <c r="E9" s="185"/>
      <c r="F9" s="188"/>
      <c r="G9" s="186">
        <f ca="1">-G62</f>
        <v>5311040</v>
      </c>
    </row>
    <row r="10" spans="2:18">
      <c r="C10" s="183"/>
      <c r="D10" s="185" t="s">
        <v>123</v>
      </c>
      <c r="E10" s="185"/>
      <c r="F10" s="187"/>
      <c r="G10" s="186">
        <f ca="1">-G61</f>
        <v>778238.10120465013</v>
      </c>
    </row>
    <row r="11" spans="2:18">
      <c r="C11" s="183"/>
      <c r="D11" s="185"/>
      <c r="E11" s="185"/>
      <c r="F11" s="187"/>
      <c r="G11" s="186"/>
    </row>
    <row r="12" spans="2:18">
      <c r="C12" s="183"/>
      <c r="D12" s="304" t="s">
        <v>426</v>
      </c>
      <c r="E12" s="304"/>
      <c r="F12" s="305">
        <f ca="1">G12/G17</f>
        <v>258.99556298582365</v>
      </c>
      <c r="G12" s="305">
        <f ca="1">G4+G5+G6+G7+G8+G9+G10</f>
        <v>27510715.896804575</v>
      </c>
    </row>
    <row r="13" spans="2:18">
      <c r="B13" s="190"/>
    </row>
    <row r="14" spans="2:18">
      <c r="B14" s="191" t="s">
        <v>102</v>
      </c>
    </row>
    <row r="16" spans="2:18">
      <c r="B16" s="5" t="s">
        <v>2</v>
      </c>
      <c r="C16" s="5"/>
      <c r="D16" s="5"/>
      <c r="E16" s="5"/>
      <c r="F16" s="5"/>
      <c r="G16" s="5"/>
      <c r="H16" s="5"/>
      <c r="I16" s="6"/>
      <c r="J16" s="5" t="s">
        <v>103</v>
      </c>
      <c r="K16" s="5"/>
      <c r="L16" s="5"/>
      <c r="M16" s="5"/>
      <c r="N16" s="7" t="s">
        <v>104</v>
      </c>
      <c r="P16" s="5" t="s">
        <v>41</v>
      </c>
      <c r="Q16" s="5"/>
      <c r="R16" s="5"/>
    </row>
    <row r="17" spans="2:19">
      <c r="B17" s="180" t="s">
        <v>14</v>
      </c>
      <c r="F17" s="19">
        <v>0.8</v>
      </c>
      <c r="G17" s="396">
        <f ca="1">Assumptions!P6*F17</f>
        <v>106220.8</v>
      </c>
      <c r="J17" s="180" t="s">
        <v>47</v>
      </c>
      <c r="M17" s="192">
        <f ca="1">G17*G21</f>
        <v>2443078.4</v>
      </c>
      <c r="N17" s="193">
        <f ca="1">M17/G17</f>
        <v>23</v>
      </c>
      <c r="P17" s="180" t="s">
        <v>105</v>
      </c>
      <c r="R17" s="398">
        <f ca="1">G12</f>
        <v>27510715.896804575</v>
      </c>
    </row>
    <row r="18" spans="2:19">
      <c r="J18" s="180" t="s">
        <v>60</v>
      </c>
      <c r="M18" s="192">
        <f ca="1">-M17*G24</f>
        <v>-244307.84</v>
      </c>
      <c r="N18" s="183"/>
      <c r="P18" s="194" t="s">
        <v>44</v>
      </c>
      <c r="Q18" s="274">
        <v>0.01</v>
      </c>
      <c r="R18" s="192">
        <f ca="1">R17*Q18</f>
        <v>275107.15896804573</v>
      </c>
      <c r="S18" s="11"/>
    </row>
    <row r="19" spans="2:19">
      <c r="B19" s="5" t="s">
        <v>106</v>
      </c>
      <c r="C19" s="5"/>
      <c r="D19" s="5"/>
      <c r="E19" s="5"/>
      <c r="F19" s="5"/>
      <c r="G19" s="5"/>
      <c r="H19" s="5"/>
      <c r="I19" s="6"/>
      <c r="J19" s="195" t="s">
        <v>61</v>
      </c>
      <c r="K19" s="195"/>
      <c r="L19" s="195"/>
      <c r="M19" s="196">
        <f ca="1">M17+M18</f>
        <v>2198770.56</v>
      </c>
      <c r="N19" s="197"/>
      <c r="P19" s="198" t="s">
        <v>45</v>
      </c>
      <c r="Q19" s="195"/>
      <c r="R19" s="196">
        <f ca="1">SUM(R17:R18)</f>
        <v>27785823.055772621</v>
      </c>
      <c r="S19" s="16"/>
    </row>
    <row r="20" spans="2:19">
      <c r="B20" s="180" t="s">
        <v>107</v>
      </c>
      <c r="G20" s="17">
        <v>15</v>
      </c>
      <c r="H20" s="180" t="s">
        <v>108</v>
      </c>
      <c r="N20" s="183"/>
    </row>
    <row r="21" spans="2:19">
      <c r="B21" s="180" t="s">
        <v>109</v>
      </c>
      <c r="G21" s="179">
        <f>ROUNDUP(Assumptions!H62,0)</f>
        <v>23</v>
      </c>
      <c r="H21" s="180" t="s">
        <v>110</v>
      </c>
      <c r="J21" s="18" t="s">
        <v>111</v>
      </c>
      <c r="N21" s="183"/>
      <c r="P21" s="5" t="s">
        <v>32</v>
      </c>
      <c r="Q21" s="5"/>
      <c r="R21" s="5"/>
    </row>
    <row r="22" spans="2:19">
      <c r="B22" s="180" t="s">
        <v>112</v>
      </c>
      <c r="G22" s="19">
        <v>0.03</v>
      </c>
      <c r="H22" s="180" t="s">
        <v>113</v>
      </c>
      <c r="J22" s="180" t="s">
        <v>114</v>
      </c>
      <c r="M22" s="192">
        <f ca="1">N22*$G$17</f>
        <v>159331.20000000001</v>
      </c>
      <c r="N22" s="20">
        <v>1.5</v>
      </c>
      <c r="P22" s="194" t="s">
        <v>7</v>
      </c>
      <c r="R22" s="192">
        <f ca="1">G37</f>
        <v>18060784.986252204</v>
      </c>
    </row>
    <row r="23" spans="2:19">
      <c r="B23" s="180" t="s">
        <v>115</v>
      </c>
      <c r="G23" s="19">
        <v>0.02</v>
      </c>
      <c r="J23" s="180" t="s">
        <v>116</v>
      </c>
      <c r="M23" s="192">
        <f ca="1">N23*$G$17</f>
        <v>159331.20000000001</v>
      </c>
      <c r="N23" s="20">
        <v>1.5</v>
      </c>
      <c r="P23" s="194" t="s">
        <v>34</v>
      </c>
      <c r="R23" s="192">
        <f ca="1">R24-R22</f>
        <v>9725038.0695204176</v>
      </c>
    </row>
    <row r="24" spans="2:19">
      <c r="B24" s="180" t="s">
        <v>117</v>
      </c>
      <c r="G24" s="19">
        <v>0.1</v>
      </c>
      <c r="H24" s="41" t="s">
        <v>427</v>
      </c>
      <c r="J24" s="180" t="s">
        <v>119</v>
      </c>
      <c r="M24" s="192">
        <f ca="1">N24*$G$17</f>
        <v>212441.60000000001</v>
      </c>
      <c r="N24" s="20">
        <v>2</v>
      </c>
      <c r="P24" s="198" t="s">
        <v>120</v>
      </c>
      <c r="Q24" s="195"/>
      <c r="R24" s="196">
        <f ca="1">R19</f>
        <v>27785823.055772621</v>
      </c>
    </row>
    <row r="25" spans="2:19">
      <c r="B25" s="180" t="s">
        <v>121</v>
      </c>
      <c r="G25" s="17">
        <v>50</v>
      </c>
      <c r="H25" s="180" t="s">
        <v>122</v>
      </c>
      <c r="J25" s="180" t="s">
        <v>31</v>
      </c>
      <c r="L25" s="274">
        <v>0.32</v>
      </c>
      <c r="M25" s="275">
        <f ca="1">(G12*L25)*N25</f>
        <v>154315.30846562795</v>
      </c>
      <c r="N25" s="397">
        <f>1.7529/100</f>
        <v>1.7528999999999999E-2</v>
      </c>
    </row>
    <row r="26" spans="2:19">
      <c r="B26" s="180" t="s">
        <v>123</v>
      </c>
      <c r="G26" s="19">
        <v>0.06</v>
      </c>
      <c r="J26" s="180" t="s">
        <v>146</v>
      </c>
      <c r="M26" s="192">
        <f ca="1">N26*$M$17</f>
        <v>73292.351999999999</v>
      </c>
      <c r="N26" s="21">
        <v>0.03</v>
      </c>
      <c r="P26" s="180" t="s">
        <v>124</v>
      </c>
      <c r="R26" s="220">
        <v>7.4999999999999997E-2</v>
      </c>
    </row>
    <row r="27" spans="2:19">
      <c r="B27" s="180" t="s">
        <v>125</v>
      </c>
      <c r="G27" s="22">
        <v>5.7500000000000002E-2</v>
      </c>
      <c r="J27" s="195" t="s">
        <v>126</v>
      </c>
      <c r="K27" s="195"/>
      <c r="L27" s="195"/>
      <c r="M27" s="196">
        <f ca="1">SUM(M22:M26)</f>
        <v>758711.66046562791</v>
      </c>
      <c r="N27" s="23">
        <v>4</v>
      </c>
    </row>
    <row r="28" spans="2:19">
      <c r="B28" s="180" t="s">
        <v>127</v>
      </c>
      <c r="G28" s="22">
        <v>5.5E-2</v>
      </c>
      <c r="N28" s="183"/>
    </row>
    <row r="29" spans="2:19">
      <c r="B29" s="180" t="s">
        <v>128</v>
      </c>
      <c r="G29" s="24">
        <v>0</v>
      </c>
      <c r="H29" s="180" t="s">
        <v>129</v>
      </c>
      <c r="J29" s="180" t="s">
        <v>130</v>
      </c>
      <c r="M29" s="192">
        <f ca="1">M19-M27</f>
        <v>1440058.8995343721</v>
      </c>
      <c r="N29" s="183"/>
    </row>
    <row r="30" spans="2:19">
      <c r="B30" s="180" t="s">
        <v>131</v>
      </c>
      <c r="G30" s="25">
        <v>9</v>
      </c>
      <c r="H30" s="180" t="s">
        <v>108</v>
      </c>
      <c r="M30" s="192"/>
      <c r="N30" s="183"/>
    </row>
    <row r="31" spans="2:19">
      <c r="B31" s="180" t="s">
        <v>66</v>
      </c>
      <c r="G31" s="19">
        <v>0</v>
      </c>
      <c r="J31" s="26"/>
      <c r="M31" s="192"/>
      <c r="N31" s="183"/>
    </row>
    <row r="32" spans="2:19">
      <c r="J32" s="26"/>
      <c r="N32" s="183"/>
    </row>
    <row r="33" spans="2:20">
      <c r="B33" s="5" t="s">
        <v>132</v>
      </c>
      <c r="C33" s="5"/>
      <c r="D33" s="5"/>
      <c r="E33" s="5"/>
      <c r="F33" s="5"/>
      <c r="G33" s="5"/>
      <c r="H33" s="5"/>
      <c r="I33" s="6"/>
      <c r="N33" s="183"/>
    </row>
    <row r="34" spans="2:20">
      <c r="B34" s="180" t="s">
        <v>133</v>
      </c>
      <c r="G34" s="19">
        <v>0.65</v>
      </c>
      <c r="H34" s="180" t="s">
        <v>134</v>
      </c>
      <c r="J34" s="16"/>
      <c r="N34" s="183"/>
    </row>
    <row r="35" spans="2:20">
      <c r="B35" s="180" t="s">
        <v>10</v>
      </c>
      <c r="G35" s="19">
        <v>0.05</v>
      </c>
      <c r="J35" s="16"/>
    </row>
    <row r="36" spans="2:20">
      <c r="B36" s="180" t="s">
        <v>81</v>
      </c>
      <c r="G36" s="50">
        <v>30</v>
      </c>
      <c r="H36" s="180" t="s">
        <v>135</v>
      </c>
    </row>
    <row r="37" spans="2:20">
      <c r="B37" s="180" t="s">
        <v>136</v>
      </c>
      <c r="G37" s="192">
        <f ca="1">G34*R19</f>
        <v>18060784.986252204</v>
      </c>
    </row>
    <row r="38" spans="2:20">
      <c r="B38" s="180" t="s">
        <v>137</v>
      </c>
      <c r="G38" s="192">
        <f ca="1">PMT(G35/12,G36*12,G37)</f>
        <v>-96954.19909193182</v>
      </c>
    </row>
    <row r="40" spans="2:20">
      <c r="B40" s="5" t="s">
        <v>51</v>
      </c>
      <c r="C40" s="5"/>
      <c r="D40" s="5"/>
      <c r="E40" s="5"/>
      <c r="F40" s="5"/>
      <c r="G40" s="27">
        <v>0</v>
      </c>
      <c r="H40" s="27">
        <f>G40+1</f>
        <v>1</v>
      </c>
      <c r="I40" s="27">
        <f t="shared" ref="I40:R40" si="0">H40+1</f>
        <v>2</v>
      </c>
      <c r="J40" s="27">
        <f t="shared" si="0"/>
        <v>3</v>
      </c>
      <c r="K40" s="27">
        <f t="shared" si="0"/>
        <v>4</v>
      </c>
      <c r="L40" s="27">
        <f t="shared" si="0"/>
        <v>5</v>
      </c>
      <c r="M40" s="27">
        <f t="shared" si="0"/>
        <v>6</v>
      </c>
      <c r="N40" s="27">
        <f t="shared" si="0"/>
        <v>7</v>
      </c>
      <c r="O40" s="27">
        <f t="shared" si="0"/>
        <v>8</v>
      </c>
      <c r="P40" s="27">
        <f t="shared" si="0"/>
        <v>9</v>
      </c>
      <c r="Q40" s="27">
        <f t="shared" si="0"/>
        <v>10</v>
      </c>
      <c r="R40" s="27">
        <f t="shared" si="0"/>
        <v>11</v>
      </c>
      <c r="S40" s="27"/>
      <c r="T40" s="27"/>
    </row>
    <row r="41" spans="2:20">
      <c r="B41" s="180" t="s">
        <v>52</v>
      </c>
      <c r="H41" s="199">
        <f t="shared" ref="H41:R41" si="1">1-$G$24</f>
        <v>0.9</v>
      </c>
      <c r="I41" s="199">
        <f t="shared" si="1"/>
        <v>0.9</v>
      </c>
      <c r="J41" s="199">
        <f t="shared" si="1"/>
        <v>0.9</v>
      </c>
      <c r="K41" s="199">
        <f t="shared" si="1"/>
        <v>0.9</v>
      </c>
      <c r="L41" s="199">
        <f t="shared" si="1"/>
        <v>0.9</v>
      </c>
      <c r="M41" s="199">
        <f t="shared" si="1"/>
        <v>0.9</v>
      </c>
      <c r="N41" s="199">
        <f t="shared" si="1"/>
        <v>0.9</v>
      </c>
      <c r="O41" s="199">
        <f t="shared" si="1"/>
        <v>0.9</v>
      </c>
      <c r="P41" s="199">
        <f t="shared" si="1"/>
        <v>0.9</v>
      </c>
      <c r="Q41" s="199">
        <f t="shared" si="1"/>
        <v>0.9</v>
      </c>
      <c r="R41" s="199">
        <f t="shared" si="1"/>
        <v>0.9</v>
      </c>
      <c r="S41" s="199"/>
      <c r="T41" s="199"/>
    </row>
    <row r="43" spans="2:20">
      <c r="B43" s="180" t="s">
        <v>138</v>
      </c>
      <c r="G43" s="192">
        <f ca="1">-R19+G9+G10</f>
        <v>-21696544.954567973</v>
      </c>
    </row>
    <row r="44" spans="2:20">
      <c r="I44" s="200"/>
    </row>
    <row r="45" spans="2:20">
      <c r="B45" s="180" t="s">
        <v>47</v>
      </c>
      <c r="H45" s="192">
        <f t="shared" ref="H45:R45" ca="1" si="2">$M$17*(1+$G$22)^G40</f>
        <v>2443078.4</v>
      </c>
      <c r="I45" s="192">
        <f t="shared" ca="1" si="2"/>
        <v>2516370.7519999999</v>
      </c>
      <c r="J45" s="192">
        <f t="shared" ca="1" si="2"/>
        <v>2591861.8745599999</v>
      </c>
      <c r="K45" s="192">
        <f t="shared" ca="1" si="2"/>
        <v>2669617.7307968</v>
      </c>
      <c r="L45" s="192">
        <f t="shared" ca="1" si="2"/>
        <v>2749706.2627207036</v>
      </c>
      <c r="M45" s="192">
        <f t="shared" ca="1" si="2"/>
        <v>2832197.4506023247</v>
      </c>
      <c r="N45" s="192">
        <f t="shared" ca="1" si="2"/>
        <v>2917163.3741203947</v>
      </c>
      <c r="O45" s="192">
        <f t="shared" ca="1" si="2"/>
        <v>3004678.2753440067</v>
      </c>
      <c r="P45" s="192">
        <f t="shared" ca="1" si="2"/>
        <v>3094818.6236043265</v>
      </c>
      <c r="Q45" s="192">
        <f t="shared" ca="1" si="2"/>
        <v>3187663.1823124564</v>
      </c>
      <c r="R45" s="192">
        <f t="shared" ca="1" si="2"/>
        <v>3283293.07778183</v>
      </c>
      <c r="S45" s="192"/>
    </row>
    <row r="46" spans="2:20">
      <c r="C46" s="180" t="s">
        <v>60</v>
      </c>
      <c r="H46" s="192">
        <f ca="1">-(1-H41)*H45</f>
        <v>-244307.83999999994</v>
      </c>
      <c r="I46" s="192">
        <f t="shared" ref="I46:R46" ca="1" si="3">-(1-I41)*I45</f>
        <v>-251637.07519999993</v>
      </c>
      <c r="J46" s="192">
        <f t="shared" ca="1" si="3"/>
        <v>-259186.18745599993</v>
      </c>
      <c r="K46" s="192">
        <f t="shared" ca="1" si="3"/>
        <v>-266961.77307967993</v>
      </c>
      <c r="L46" s="192">
        <f t="shared" ca="1" si="3"/>
        <v>-274970.62627207028</v>
      </c>
      <c r="M46" s="192">
        <f t="shared" ca="1" si="3"/>
        <v>-283219.74506023241</v>
      </c>
      <c r="N46" s="192">
        <f t="shared" ca="1" si="3"/>
        <v>-291716.3374120394</v>
      </c>
      <c r="O46" s="192">
        <f t="shared" ca="1" si="3"/>
        <v>-300467.82753440063</v>
      </c>
      <c r="P46" s="192">
        <f t="shared" ca="1" si="3"/>
        <v>-309481.86236043257</v>
      </c>
      <c r="Q46" s="192">
        <f t="shared" ca="1" si="3"/>
        <v>-318766.31823124556</v>
      </c>
      <c r="R46" s="192">
        <f t="shared" ca="1" si="3"/>
        <v>-328329.30777818291</v>
      </c>
      <c r="S46" s="192"/>
    </row>
    <row r="47" spans="2:20">
      <c r="C47" s="180" t="s">
        <v>128</v>
      </c>
      <c r="H47" s="192">
        <v>0</v>
      </c>
      <c r="I47" s="192">
        <v>0</v>
      </c>
      <c r="J47" s="192">
        <v>0</v>
      </c>
      <c r="K47" s="192">
        <v>0</v>
      </c>
      <c r="L47" s="192">
        <v>0</v>
      </c>
      <c r="M47" s="192">
        <v>0</v>
      </c>
      <c r="N47" s="192">
        <v>0</v>
      </c>
      <c r="O47" s="192">
        <v>0</v>
      </c>
      <c r="P47" s="192">
        <v>0</v>
      </c>
      <c r="Q47" s="192">
        <v>0</v>
      </c>
      <c r="R47" s="192">
        <v>0</v>
      </c>
      <c r="S47" s="192"/>
    </row>
    <row r="48" spans="2:20">
      <c r="B48" s="195" t="s">
        <v>61</v>
      </c>
      <c r="C48" s="195"/>
      <c r="D48" s="195"/>
      <c r="E48" s="195"/>
      <c r="F48" s="195"/>
      <c r="G48" s="195"/>
      <c r="H48" s="196">
        <f ca="1">SUM(H45:H47)</f>
        <v>2198770.56</v>
      </c>
      <c r="I48" s="196">
        <f t="shared" ref="I48:R48" ca="1" si="4">SUM(I45:I47)</f>
        <v>2264733.6768</v>
      </c>
      <c r="J48" s="196">
        <f t="shared" ca="1" si="4"/>
        <v>2332675.6871039998</v>
      </c>
      <c r="K48" s="196">
        <f t="shared" ca="1" si="4"/>
        <v>2402655.9577171202</v>
      </c>
      <c r="L48" s="196">
        <f t="shared" ca="1" si="4"/>
        <v>2474735.6364486334</v>
      </c>
      <c r="M48" s="196">
        <f t="shared" ca="1" si="4"/>
        <v>2548977.7055420922</v>
      </c>
      <c r="N48" s="196">
        <f t="shared" ca="1" si="4"/>
        <v>2625447.0367083554</v>
      </c>
      <c r="O48" s="196">
        <f t="shared" ca="1" si="4"/>
        <v>2704210.4478096059</v>
      </c>
      <c r="P48" s="196">
        <f t="shared" ca="1" si="4"/>
        <v>2785336.7612438938</v>
      </c>
      <c r="Q48" s="196">
        <f t="shared" ca="1" si="4"/>
        <v>2868896.8640812109</v>
      </c>
      <c r="R48" s="196">
        <f t="shared" ca="1" si="4"/>
        <v>2954963.7700036471</v>
      </c>
      <c r="S48" s="196"/>
    </row>
    <row r="50" spans="2:19">
      <c r="B50" s="180" t="s">
        <v>62</v>
      </c>
    </row>
    <row r="51" spans="2:19">
      <c r="C51" s="180" t="str">
        <f>J22</f>
        <v>Repairs and Maintenance</v>
      </c>
      <c r="H51" s="192">
        <f t="shared" ref="H51:R54" ca="1" si="5">$M22*(1+$G$23)^G$40</f>
        <v>159331.20000000001</v>
      </c>
      <c r="I51" s="192">
        <f t="shared" ca="1" si="5"/>
        <v>162517.82400000002</v>
      </c>
      <c r="J51" s="192">
        <f t="shared" ca="1" si="5"/>
        <v>165768.18048000001</v>
      </c>
      <c r="K51" s="192">
        <f t="shared" ca="1" si="5"/>
        <v>169083.54408960001</v>
      </c>
      <c r="L51" s="192">
        <f t="shared" ca="1" si="5"/>
        <v>172465.21497139201</v>
      </c>
      <c r="M51" s="192">
        <f t="shared" ca="1" si="5"/>
        <v>175914.51927081984</v>
      </c>
      <c r="N51" s="192">
        <f t="shared" ca="1" si="5"/>
        <v>179432.80965623626</v>
      </c>
      <c r="O51" s="192">
        <f t="shared" ca="1" si="5"/>
        <v>183021.46584936095</v>
      </c>
      <c r="P51" s="192">
        <f t="shared" ca="1" si="5"/>
        <v>186681.89516634817</v>
      </c>
      <c r="Q51" s="192">
        <f t="shared" ca="1" si="5"/>
        <v>190415.53306967515</v>
      </c>
      <c r="R51" s="192">
        <f t="shared" ca="1" si="5"/>
        <v>194223.84373106866</v>
      </c>
      <c r="S51" s="192"/>
    </row>
    <row r="52" spans="2:19">
      <c r="C52" s="180" t="str">
        <f>J23</f>
        <v>Administrative</v>
      </c>
      <c r="H52" s="192">
        <f t="shared" ca="1" si="5"/>
        <v>159331.20000000001</v>
      </c>
      <c r="I52" s="192">
        <f t="shared" ca="1" si="5"/>
        <v>162517.82400000002</v>
      </c>
      <c r="J52" s="192">
        <f t="shared" ca="1" si="5"/>
        <v>165768.18048000001</v>
      </c>
      <c r="K52" s="192">
        <f t="shared" ca="1" si="5"/>
        <v>169083.54408960001</v>
      </c>
      <c r="L52" s="192">
        <f t="shared" ca="1" si="5"/>
        <v>172465.21497139201</v>
      </c>
      <c r="M52" s="192">
        <f t="shared" ca="1" si="5"/>
        <v>175914.51927081984</v>
      </c>
      <c r="N52" s="192">
        <f t="shared" ca="1" si="5"/>
        <v>179432.80965623626</v>
      </c>
      <c r="O52" s="192">
        <f t="shared" ca="1" si="5"/>
        <v>183021.46584936095</v>
      </c>
      <c r="P52" s="192">
        <f t="shared" ca="1" si="5"/>
        <v>186681.89516634817</v>
      </c>
      <c r="Q52" s="192">
        <f t="shared" ca="1" si="5"/>
        <v>190415.53306967515</v>
      </c>
      <c r="R52" s="192">
        <f t="shared" ca="1" si="5"/>
        <v>194223.84373106866</v>
      </c>
      <c r="S52" s="192"/>
    </row>
    <row r="53" spans="2:19">
      <c r="C53" s="180" t="str">
        <f>J24</f>
        <v>Utilities</v>
      </c>
      <c r="H53" s="192">
        <f t="shared" ca="1" si="5"/>
        <v>212441.60000000001</v>
      </c>
      <c r="I53" s="192">
        <f t="shared" ca="1" si="5"/>
        <v>216690.432</v>
      </c>
      <c r="J53" s="192">
        <f t="shared" ca="1" si="5"/>
        <v>221024.24064</v>
      </c>
      <c r="K53" s="192">
        <f t="shared" ca="1" si="5"/>
        <v>225444.72545279999</v>
      </c>
      <c r="L53" s="192">
        <f t="shared" ca="1" si="5"/>
        <v>229953.61996185599</v>
      </c>
      <c r="M53" s="192">
        <f t="shared" ca="1" si="5"/>
        <v>234552.69236109313</v>
      </c>
      <c r="N53" s="192">
        <f t="shared" ca="1" si="5"/>
        <v>239243.74620831502</v>
      </c>
      <c r="O53" s="192">
        <f t="shared" ca="1" si="5"/>
        <v>244028.62113248126</v>
      </c>
      <c r="P53" s="192">
        <f t="shared" ca="1" si="5"/>
        <v>248909.19355513089</v>
      </c>
      <c r="Q53" s="192">
        <f t="shared" ca="1" si="5"/>
        <v>253887.37742623352</v>
      </c>
      <c r="R53" s="192">
        <f t="shared" ca="1" si="5"/>
        <v>258965.12497475819</v>
      </c>
      <c r="S53" s="192"/>
    </row>
    <row r="54" spans="2:19">
      <c r="C54" s="180" t="str">
        <f>J25</f>
        <v>Real Estate Taxes</v>
      </c>
      <c r="H54" s="192">
        <f t="shared" ca="1" si="5"/>
        <v>154315.30846562795</v>
      </c>
      <c r="I54" s="192">
        <f t="shared" ca="1" si="5"/>
        <v>157401.61463494052</v>
      </c>
      <c r="J54" s="192">
        <f t="shared" ref="J54" ca="1" si="6">$M25*(1+$G$23)^I$40</f>
        <v>160549.64692763932</v>
      </c>
      <c r="K54" s="192">
        <f t="shared" ref="K54" ca="1" si="7">$M25*(1+$G$23)^J$40</f>
        <v>163760.6398661921</v>
      </c>
      <c r="L54" s="192">
        <f t="shared" ref="L54" ca="1" si="8">$M25*(1+$G$23)^K$40</f>
        <v>167035.85266351595</v>
      </c>
      <c r="M54" s="192">
        <f t="shared" ref="M54" ca="1" si="9">$M25*(1+$G$23)^L$40</f>
        <v>170376.56971678627</v>
      </c>
      <c r="N54" s="192">
        <f t="shared" ref="N54" ca="1" si="10">$M25*(1+$G$23)^M$40</f>
        <v>173784.101111122</v>
      </c>
      <c r="O54" s="192">
        <f t="shared" ref="O54" ca="1" si="11">$M25*(1+$G$23)^N$40</f>
        <v>177259.7831333444</v>
      </c>
      <c r="P54" s="192">
        <f t="shared" ref="P54" ca="1" si="12">$M25*(1+$G$23)^O$40</f>
        <v>180804.9787960113</v>
      </c>
      <c r="Q54" s="192">
        <f t="shared" ref="Q54" ca="1" si="13">$M25*(1+$G$23)^P$40</f>
        <v>184421.07837193154</v>
      </c>
      <c r="R54" s="192">
        <f t="shared" ref="R54" ca="1" si="14">$M25*(1+$G$23)^Q$40</f>
        <v>188109.49993937017</v>
      </c>
      <c r="S54" s="192"/>
    </row>
    <row r="55" spans="2:19">
      <c r="C55" s="180" t="str">
        <f>J26</f>
        <v>Property Mgmt Fee (% gross revs)</v>
      </c>
      <c r="H55" s="192">
        <f t="shared" ref="H55:R55" ca="1" si="15">H45*$N$26</f>
        <v>73292.351999999999</v>
      </c>
      <c r="I55" s="192">
        <f t="shared" ca="1" si="15"/>
        <v>75491.122559999989</v>
      </c>
      <c r="J55" s="192">
        <f t="shared" ca="1" si="15"/>
        <v>77755.856236799998</v>
      </c>
      <c r="K55" s="192">
        <f t="shared" ca="1" si="15"/>
        <v>80088.531923903996</v>
      </c>
      <c r="L55" s="192">
        <f t="shared" ca="1" si="15"/>
        <v>82491.18788162111</v>
      </c>
      <c r="M55" s="192">
        <f t="shared" ca="1" si="15"/>
        <v>84965.923518069743</v>
      </c>
      <c r="N55" s="192">
        <f t="shared" ca="1" si="15"/>
        <v>87514.901223611843</v>
      </c>
      <c r="O55" s="192">
        <f t="shared" ca="1" si="15"/>
        <v>90140.348260320199</v>
      </c>
      <c r="P55" s="192">
        <f t="shared" ca="1" si="15"/>
        <v>92844.558708129785</v>
      </c>
      <c r="Q55" s="192">
        <f t="shared" ca="1" si="15"/>
        <v>95629.895469373689</v>
      </c>
      <c r="R55" s="192">
        <f t="shared" ca="1" si="15"/>
        <v>98498.792333454898</v>
      </c>
      <c r="S55" s="192"/>
    </row>
    <row r="56" spans="2:19">
      <c r="B56" s="195" t="s">
        <v>126</v>
      </c>
      <c r="C56" s="195"/>
      <c r="D56" s="195"/>
      <c r="E56" s="195"/>
      <c r="F56" s="195"/>
      <c r="G56" s="195"/>
      <c r="H56" s="196">
        <f t="shared" ref="H56:R56" ca="1" si="16">SUM(H51:H55)</f>
        <v>758711.66046562791</v>
      </c>
      <c r="I56" s="196">
        <f t="shared" ca="1" si="16"/>
        <v>774618.81719494052</v>
      </c>
      <c r="J56" s="196">
        <f t="shared" ca="1" si="16"/>
        <v>790866.10476443928</v>
      </c>
      <c r="K56" s="196">
        <f t="shared" ca="1" si="16"/>
        <v>807460.9854220961</v>
      </c>
      <c r="L56" s="196">
        <f t="shared" ca="1" si="16"/>
        <v>824411.09044977708</v>
      </c>
      <c r="M56" s="196">
        <f t="shared" ca="1" si="16"/>
        <v>841724.22413758887</v>
      </c>
      <c r="N56" s="196">
        <f t="shared" ca="1" si="16"/>
        <v>859408.36785552138</v>
      </c>
      <c r="O56" s="196">
        <f t="shared" ca="1" si="16"/>
        <v>877471.68422486773</v>
      </c>
      <c r="P56" s="196">
        <f t="shared" ca="1" si="16"/>
        <v>895922.52139196836</v>
      </c>
      <c r="Q56" s="196">
        <f t="shared" ca="1" si="16"/>
        <v>914769.41740688903</v>
      </c>
      <c r="R56" s="196">
        <f t="shared" ca="1" si="16"/>
        <v>934021.10470972059</v>
      </c>
      <c r="S56" s="196"/>
    </row>
    <row r="58" spans="2:19">
      <c r="B58" s="180" t="s">
        <v>64</v>
      </c>
      <c r="H58" s="192">
        <f t="shared" ref="H58:R58" ca="1" si="17">H48-H56</f>
        <v>1440058.8995343721</v>
      </c>
      <c r="I58" s="192">
        <f t="shared" ca="1" si="17"/>
        <v>1490114.8596050595</v>
      </c>
      <c r="J58" s="192">
        <f t="shared" ca="1" si="17"/>
        <v>1541809.5823395606</v>
      </c>
      <c r="K58" s="192">
        <f t="shared" ca="1" si="17"/>
        <v>1595194.972295024</v>
      </c>
      <c r="L58" s="192">
        <f t="shared" ca="1" si="17"/>
        <v>1650324.5459988564</v>
      </c>
      <c r="M58" s="192">
        <f t="shared" ca="1" si="17"/>
        <v>1707253.4814045033</v>
      </c>
      <c r="N58" s="192">
        <f t="shared" ca="1" si="17"/>
        <v>1766038.668852834</v>
      </c>
      <c r="O58" s="192">
        <f t="shared" ca="1" si="17"/>
        <v>1826738.7635847381</v>
      </c>
      <c r="P58" s="192">
        <f t="shared" ca="1" si="17"/>
        <v>1889414.2398519255</v>
      </c>
      <c r="Q58" s="192">
        <f t="shared" ca="1" si="17"/>
        <v>1954127.4466743218</v>
      </c>
      <c r="R58" s="192">
        <f t="shared" ca="1" si="17"/>
        <v>2020942.6652939264</v>
      </c>
      <c r="S58" s="192"/>
    </row>
    <row r="60" spans="2:19">
      <c r="B60" s="180" t="s">
        <v>139</v>
      </c>
    </row>
    <row r="61" spans="2:19">
      <c r="C61" s="180" t="s">
        <v>140</v>
      </c>
      <c r="G61" s="192">
        <f ca="1">-IF($G$30=10,SUM(H93:R93)*G17,SUM(H93:L93)*$G$17)</f>
        <v>-778238.10120465013</v>
      </c>
    </row>
    <row r="62" spans="2:19">
      <c r="C62" s="180" t="s">
        <v>141</v>
      </c>
      <c r="G62" s="192">
        <f ca="1">-G25*G17</f>
        <v>-5311040</v>
      </c>
    </row>
    <row r="64" spans="2:19">
      <c r="B64" s="180" t="s">
        <v>142</v>
      </c>
      <c r="G64" s="192">
        <f ca="1">IF(G40&lt;=$G$30+1,G43+G58+SUM(G61:G62),0)</f>
        <v>-27785823.055772625</v>
      </c>
      <c r="H64" s="192">
        <f ca="1">IF(H40&lt;=$G$30+1,H43+H58+SUM(H61:H62),0)</f>
        <v>1440058.8995343721</v>
      </c>
      <c r="I64" s="192">
        <f t="shared" ref="I64:R64" ca="1" si="18">IF(I40&lt;=$G$30+1,I43+I58+SUM(I61:I62),0)</f>
        <v>1490114.8596050595</v>
      </c>
      <c r="J64" s="192">
        <f t="shared" ca="1" si="18"/>
        <v>1541809.5823395606</v>
      </c>
      <c r="K64" s="192">
        <f t="shared" ca="1" si="18"/>
        <v>1595194.972295024</v>
      </c>
      <c r="L64" s="192">
        <f t="shared" ca="1" si="18"/>
        <v>1650324.5459988564</v>
      </c>
      <c r="M64" s="192">
        <f t="shared" ca="1" si="18"/>
        <v>1707253.4814045033</v>
      </c>
      <c r="N64" s="192">
        <f t="shared" ca="1" si="18"/>
        <v>1766038.668852834</v>
      </c>
      <c r="O64" s="192">
        <f t="shared" ca="1" si="18"/>
        <v>1826738.7635847381</v>
      </c>
      <c r="P64" s="192">
        <f t="shared" ca="1" si="18"/>
        <v>1889414.2398519255</v>
      </c>
      <c r="Q64" s="192">
        <f t="shared" ca="1" si="18"/>
        <v>1954127.4466743218</v>
      </c>
      <c r="R64" s="192">
        <f t="shared" si="18"/>
        <v>0</v>
      </c>
      <c r="S64" s="192"/>
    </row>
    <row r="65" spans="2:20"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</row>
    <row r="66" spans="2:20">
      <c r="B66" s="180" t="s">
        <v>65</v>
      </c>
      <c r="H66" s="192">
        <f t="shared" ref="H66:R66" si="19">IF(H40=$G$30,I64/$G$28,0)</f>
        <v>0</v>
      </c>
      <c r="I66" s="192">
        <f t="shared" si="19"/>
        <v>0</v>
      </c>
      <c r="J66" s="192">
        <f t="shared" si="19"/>
        <v>0</v>
      </c>
      <c r="K66" s="192">
        <f t="shared" si="19"/>
        <v>0</v>
      </c>
      <c r="L66" s="192">
        <f t="shared" si="19"/>
        <v>0</v>
      </c>
      <c r="M66" s="192">
        <f t="shared" si="19"/>
        <v>0</v>
      </c>
      <c r="N66" s="192">
        <f t="shared" si="19"/>
        <v>0</v>
      </c>
      <c r="O66" s="192">
        <f t="shared" si="19"/>
        <v>0</v>
      </c>
      <c r="P66" s="192">
        <f t="shared" ca="1" si="19"/>
        <v>35529589.939533122</v>
      </c>
      <c r="Q66" s="192">
        <f t="shared" si="19"/>
        <v>0</v>
      </c>
      <c r="R66" s="192">
        <f t="shared" si="19"/>
        <v>0</v>
      </c>
      <c r="S66" s="192"/>
    </row>
    <row r="67" spans="2:20">
      <c r="B67" s="180" t="s">
        <v>66</v>
      </c>
      <c r="H67" s="192">
        <f>-H66*$G$31</f>
        <v>0</v>
      </c>
      <c r="I67" s="192">
        <f t="shared" ref="I67:R67" si="20">-I66*$G$31</f>
        <v>0</v>
      </c>
      <c r="J67" s="192">
        <f t="shared" si="20"/>
        <v>0</v>
      </c>
      <c r="K67" s="192">
        <f t="shared" si="20"/>
        <v>0</v>
      </c>
      <c r="L67" s="192">
        <f t="shared" si="20"/>
        <v>0</v>
      </c>
      <c r="M67" s="192">
        <f t="shared" si="20"/>
        <v>0</v>
      </c>
      <c r="N67" s="192">
        <f t="shared" si="20"/>
        <v>0</v>
      </c>
      <c r="O67" s="192">
        <f t="shared" si="20"/>
        <v>0</v>
      </c>
      <c r="P67" s="192">
        <f t="shared" ca="1" si="20"/>
        <v>0</v>
      </c>
      <c r="Q67" s="192">
        <f t="shared" si="20"/>
        <v>0</v>
      </c>
      <c r="R67" s="192">
        <f t="shared" si="20"/>
        <v>0</v>
      </c>
      <c r="S67" s="192"/>
    </row>
    <row r="68" spans="2:20">
      <c r="B68" s="201" t="s">
        <v>67</v>
      </c>
      <c r="C68" s="201"/>
      <c r="D68" s="201"/>
      <c r="E68" s="201"/>
      <c r="F68" s="201"/>
      <c r="G68" s="202">
        <f ca="1">SUM(G64:G67)</f>
        <v>-27785823.055772625</v>
      </c>
      <c r="H68" s="202">
        <f t="shared" ref="H68:R68" ca="1" si="21">SUM(H64:H67)</f>
        <v>1440058.8995343721</v>
      </c>
      <c r="I68" s="202">
        <f t="shared" ca="1" si="21"/>
        <v>1490114.8596050595</v>
      </c>
      <c r="J68" s="202">
        <f t="shared" ca="1" si="21"/>
        <v>1541809.5823395606</v>
      </c>
      <c r="K68" s="202">
        <f t="shared" ca="1" si="21"/>
        <v>1595194.972295024</v>
      </c>
      <c r="L68" s="202">
        <f t="shared" ca="1" si="21"/>
        <v>1650324.5459988564</v>
      </c>
      <c r="M68" s="202">
        <f t="shared" ca="1" si="21"/>
        <v>1707253.4814045033</v>
      </c>
      <c r="N68" s="202">
        <f t="shared" ca="1" si="21"/>
        <v>1766038.668852834</v>
      </c>
      <c r="O68" s="202">
        <f t="shared" ca="1" si="21"/>
        <v>1826738.7635847381</v>
      </c>
      <c r="P68" s="202">
        <f t="shared" ca="1" si="21"/>
        <v>37419004.179385051</v>
      </c>
      <c r="Q68" s="202">
        <f t="shared" ca="1" si="21"/>
        <v>1954127.4466743218</v>
      </c>
      <c r="R68" s="202">
        <f t="shared" si="21"/>
        <v>0</v>
      </c>
      <c r="S68" s="196"/>
    </row>
    <row r="69" spans="2:20" ht="16" thickBot="1"/>
    <row r="70" spans="2:20">
      <c r="B70" s="203" t="s">
        <v>68</v>
      </c>
      <c r="C70" s="204"/>
      <c r="D70" s="204"/>
      <c r="E70" s="204"/>
      <c r="F70" s="204"/>
      <c r="G70" s="205">
        <f ca="1">SUM(G68:R68)</f>
        <v>24604842.34390169</v>
      </c>
    </row>
    <row r="71" spans="2:20">
      <c r="B71" s="206" t="s">
        <v>69</v>
      </c>
      <c r="G71" s="207">
        <f ca="1">NPV($R$26,H68:R68)</f>
        <v>29874405.677588955</v>
      </c>
    </row>
    <row r="72" spans="2:20">
      <c r="B72" s="206" t="s">
        <v>70</v>
      </c>
      <c r="G72" s="207">
        <f ca="1">G71+G68</f>
        <v>2088582.6218163297</v>
      </c>
    </row>
    <row r="73" spans="2:20">
      <c r="B73" s="206" t="s">
        <v>71</v>
      </c>
      <c r="G73" s="208">
        <f ca="1">IRR(G68:R68)</f>
        <v>8.541174586305722E-2</v>
      </c>
    </row>
    <row r="74" spans="2:20" ht="16" thickBot="1">
      <c r="B74" s="209" t="s">
        <v>72</v>
      </c>
      <c r="C74" s="210"/>
      <c r="D74" s="210"/>
      <c r="E74" s="210"/>
      <c r="F74" s="210"/>
      <c r="G74" s="211">
        <f ca="1">(G70/-G68)+1</f>
        <v>1.885517851838113</v>
      </c>
    </row>
    <row r="76" spans="2:20">
      <c r="B76" s="180" t="s">
        <v>73</v>
      </c>
      <c r="G76" s="192">
        <f ca="1">G37</f>
        <v>18060784.986252204</v>
      </c>
    </row>
    <row r="77" spans="2:20">
      <c r="B77" s="180" t="s">
        <v>74</v>
      </c>
      <c r="H77" s="192">
        <f t="shared" ref="H77:R77" si="22">IF(H40=$G$30,FV($G$35/12,H40*12,$G$38,$G$37),0)</f>
        <v>0</v>
      </c>
      <c r="I77" s="192">
        <f t="shared" si="22"/>
        <v>0</v>
      </c>
      <c r="J77" s="192">
        <f t="shared" si="22"/>
        <v>0</v>
      </c>
      <c r="K77" s="192">
        <f t="shared" si="22"/>
        <v>0</v>
      </c>
      <c r="L77" s="192">
        <f t="shared" si="22"/>
        <v>0</v>
      </c>
      <c r="M77" s="192">
        <f t="shared" si="22"/>
        <v>0</v>
      </c>
      <c r="N77" s="192">
        <f t="shared" si="22"/>
        <v>0</v>
      </c>
      <c r="O77" s="192">
        <f t="shared" si="22"/>
        <v>0</v>
      </c>
      <c r="P77" s="192">
        <f t="shared" ca="1" si="22"/>
        <v>-15108521.345031843</v>
      </c>
      <c r="Q77" s="192">
        <f t="shared" si="22"/>
        <v>0</v>
      </c>
      <c r="R77" s="192">
        <f t="shared" si="22"/>
        <v>0</v>
      </c>
      <c r="S77" s="192"/>
      <c r="T77" s="192"/>
    </row>
    <row r="78" spans="2:20">
      <c r="B78" s="180" t="s">
        <v>75</v>
      </c>
      <c r="H78" s="192">
        <f ca="1">IF(H40&lt;=$G$30,$G$38*12,0)</f>
        <v>-1163450.3891031819</v>
      </c>
      <c r="I78" s="192">
        <f t="shared" ref="I78:R78" ca="1" si="23">IF(I40&lt;=$G$30,$G$38*12,0)</f>
        <v>-1163450.3891031819</v>
      </c>
      <c r="J78" s="192">
        <f t="shared" ca="1" si="23"/>
        <v>-1163450.3891031819</v>
      </c>
      <c r="K78" s="192">
        <f t="shared" ca="1" si="23"/>
        <v>-1163450.3891031819</v>
      </c>
      <c r="L78" s="192">
        <f t="shared" ca="1" si="23"/>
        <v>-1163450.3891031819</v>
      </c>
      <c r="M78" s="192">
        <f t="shared" ca="1" si="23"/>
        <v>-1163450.3891031819</v>
      </c>
      <c r="N78" s="192">
        <f t="shared" ca="1" si="23"/>
        <v>-1163450.3891031819</v>
      </c>
      <c r="O78" s="192">
        <f t="shared" ca="1" si="23"/>
        <v>-1163450.3891031819</v>
      </c>
      <c r="P78" s="192">
        <f t="shared" ca="1" si="23"/>
        <v>-1163450.3891031819</v>
      </c>
      <c r="Q78" s="192">
        <f t="shared" si="23"/>
        <v>0</v>
      </c>
      <c r="R78" s="192">
        <f t="shared" si="23"/>
        <v>0</v>
      </c>
      <c r="S78" s="192"/>
      <c r="T78" s="192"/>
    </row>
    <row r="79" spans="2:20">
      <c r="B79" s="325" t="s">
        <v>438</v>
      </c>
      <c r="H79" s="219">
        <f t="shared" ref="H79:Q79" ca="1" si="24">SUM(H77:H78)</f>
        <v>-1163450.3891031819</v>
      </c>
      <c r="I79" s="219">
        <f t="shared" ca="1" si="24"/>
        <v>-1163450.3891031819</v>
      </c>
      <c r="J79" s="219">
        <f t="shared" ca="1" si="24"/>
        <v>-1163450.3891031819</v>
      </c>
      <c r="K79" s="219">
        <f t="shared" ca="1" si="24"/>
        <v>-1163450.3891031819</v>
      </c>
      <c r="L79" s="219">
        <f t="shared" ca="1" si="24"/>
        <v>-1163450.3891031819</v>
      </c>
      <c r="M79" s="219">
        <f t="shared" ca="1" si="24"/>
        <v>-1163450.3891031819</v>
      </c>
      <c r="N79" s="219">
        <f t="shared" ca="1" si="24"/>
        <v>-1163450.3891031819</v>
      </c>
      <c r="O79" s="219">
        <f t="shared" ca="1" si="24"/>
        <v>-1163450.3891031819</v>
      </c>
      <c r="P79" s="219">
        <f t="shared" ca="1" si="24"/>
        <v>-16271971.734135024</v>
      </c>
      <c r="Q79" s="219">
        <f t="shared" si="24"/>
        <v>0</v>
      </c>
    </row>
    <row r="80" spans="2:20">
      <c r="B80" s="212" t="s">
        <v>76</v>
      </c>
      <c r="C80" s="212"/>
      <c r="D80" s="212"/>
      <c r="E80" s="212"/>
      <c r="F80" s="212"/>
      <c r="G80" s="213">
        <f t="shared" ref="G80:R80" ca="1" si="25">IF(G40&lt;=$G$30,SUM(G68,G76:G78),0)</f>
        <v>-9725038.0695204213</v>
      </c>
      <c r="H80" s="213">
        <f t="shared" ca="1" si="25"/>
        <v>276608.51043119025</v>
      </c>
      <c r="I80" s="213">
        <f t="shared" ca="1" si="25"/>
        <v>326664.4705018776</v>
      </c>
      <c r="J80" s="213">
        <f t="shared" ca="1" si="25"/>
        <v>378359.19323637872</v>
      </c>
      <c r="K80" s="213">
        <f t="shared" ca="1" si="25"/>
        <v>431744.58319184207</v>
      </c>
      <c r="L80" s="213">
        <f t="shared" ca="1" si="25"/>
        <v>486874.15689567453</v>
      </c>
      <c r="M80" s="213">
        <f t="shared" ca="1" si="25"/>
        <v>543803.09230132145</v>
      </c>
      <c r="N80" s="213">
        <f t="shared" ca="1" si="25"/>
        <v>602588.27974965214</v>
      </c>
      <c r="O80" s="213">
        <f t="shared" ca="1" si="25"/>
        <v>663288.37448155624</v>
      </c>
      <c r="P80" s="213">
        <f t="shared" ca="1" si="25"/>
        <v>21147032.445250027</v>
      </c>
      <c r="Q80" s="213">
        <f t="shared" si="25"/>
        <v>0</v>
      </c>
      <c r="R80" s="213">
        <f t="shared" si="25"/>
        <v>0</v>
      </c>
      <c r="S80" s="192"/>
      <c r="T80" s="192"/>
    </row>
    <row r="81" spans="1:20" ht="16" thickBot="1"/>
    <row r="82" spans="1:20">
      <c r="B82" s="203" t="s">
        <v>68</v>
      </c>
      <c r="C82" s="204"/>
      <c r="D82" s="204"/>
      <c r="E82" s="204"/>
      <c r="F82" s="204"/>
      <c r="G82" s="205">
        <f ca="1">SUM(G80:R80)</f>
        <v>15131925.036519099</v>
      </c>
    </row>
    <row r="83" spans="1:20">
      <c r="B83" s="206" t="s">
        <v>69</v>
      </c>
      <c r="G83" s="207">
        <f ca="1">NPV($R$26,H80:R80)</f>
        <v>13624401.277047729</v>
      </c>
    </row>
    <row r="84" spans="1:20">
      <c r="B84" s="206" t="s">
        <v>70</v>
      </c>
      <c r="G84" s="207">
        <f ca="1">G83+G80</f>
        <v>3899363.2075273078</v>
      </c>
    </row>
    <row r="85" spans="1:20">
      <c r="B85" s="206" t="s">
        <v>77</v>
      </c>
      <c r="G85" s="214">
        <f ca="1">IRR(G80:R80)</f>
        <v>0.1206319922110255</v>
      </c>
    </row>
    <row r="86" spans="1:20" ht="16" thickBot="1">
      <c r="B86" s="209" t="s">
        <v>72</v>
      </c>
      <c r="C86" s="210"/>
      <c r="D86" s="210"/>
      <c r="E86" s="210"/>
      <c r="F86" s="210"/>
      <c r="G86" s="211">
        <f ca="1">(G82/-G80)+1</f>
        <v>2.5559759178675701</v>
      </c>
    </row>
    <row r="88" spans="1:20">
      <c r="A88" s="40"/>
      <c r="B88" s="5" t="s">
        <v>143</v>
      </c>
      <c r="C88" s="5"/>
      <c r="D88" s="5"/>
      <c r="E88" s="5"/>
      <c r="F88" s="5"/>
      <c r="G88" s="5"/>
      <c r="H88" s="27">
        <f t="shared" ref="H88:R88" si="26">H40</f>
        <v>1</v>
      </c>
      <c r="I88" s="27">
        <f t="shared" si="26"/>
        <v>2</v>
      </c>
      <c r="J88" s="27">
        <f t="shared" si="26"/>
        <v>3</v>
      </c>
      <c r="K88" s="27">
        <f t="shared" si="26"/>
        <v>4</v>
      </c>
      <c r="L88" s="27">
        <f t="shared" si="26"/>
        <v>5</v>
      </c>
      <c r="M88" s="27">
        <f t="shared" si="26"/>
        <v>6</v>
      </c>
      <c r="N88" s="27">
        <f t="shared" si="26"/>
        <v>7</v>
      </c>
      <c r="O88" s="27">
        <f t="shared" si="26"/>
        <v>8</v>
      </c>
      <c r="P88" s="27">
        <f t="shared" si="26"/>
        <v>9</v>
      </c>
      <c r="Q88" s="27">
        <f t="shared" si="26"/>
        <v>10</v>
      </c>
      <c r="R88" s="27">
        <f t="shared" si="26"/>
        <v>11</v>
      </c>
      <c r="S88" s="27"/>
      <c r="T88" s="27"/>
    </row>
    <row r="89" spans="1:20">
      <c r="B89" s="180" t="s">
        <v>144</v>
      </c>
      <c r="H89" s="193">
        <f t="shared" ref="H89:R89" ca="1" si="27">H45/$G$17</f>
        <v>23</v>
      </c>
      <c r="I89" s="193">
        <f t="shared" ca="1" si="27"/>
        <v>23.689999999999998</v>
      </c>
      <c r="J89" s="193">
        <f t="shared" ca="1" si="27"/>
        <v>24.400699999999997</v>
      </c>
      <c r="K89" s="193">
        <f t="shared" ca="1" si="27"/>
        <v>25.132721</v>
      </c>
      <c r="L89" s="193">
        <f t="shared" ca="1" si="27"/>
        <v>25.886702629999995</v>
      </c>
      <c r="M89" s="193">
        <f t="shared" ca="1" si="27"/>
        <v>26.663303708899996</v>
      </c>
      <c r="N89" s="193">
        <f t="shared" ca="1" si="27"/>
        <v>27.463202820166998</v>
      </c>
      <c r="O89" s="193">
        <f t="shared" ca="1" si="27"/>
        <v>28.287098904772009</v>
      </c>
      <c r="P89" s="193">
        <f t="shared" ca="1" si="27"/>
        <v>29.135711871915166</v>
      </c>
      <c r="Q89" s="193">
        <f t="shared" ca="1" si="27"/>
        <v>30.009783228072621</v>
      </c>
      <c r="R89" s="193">
        <f t="shared" ca="1" si="27"/>
        <v>30.910076724914799</v>
      </c>
      <c r="S89" s="193"/>
      <c r="T89" s="193"/>
    </row>
    <row r="90" spans="1:20">
      <c r="B90" s="180" t="s">
        <v>128</v>
      </c>
      <c r="H90" s="193">
        <f ca="1">H47/$G$17</f>
        <v>0</v>
      </c>
      <c r="I90" s="193">
        <f t="shared" ref="I90:R90" ca="1" si="28">I47/$G$17</f>
        <v>0</v>
      </c>
      <c r="J90" s="193">
        <f t="shared" ca="1" si="28"/>
        <v>0</v>
      </c>
      <c r="K90" s="193">
        <f t="shared" ca="1" si="28"/>
        <v>0</v>
      </c>
      <c r="L90" s="193">
        <f t="shared" ca="1" si="28"/>
        <v>0</v>
      </c>
      <c r="M90" s="193">
        <f t="shared" ca="1" si="28"/>
        <v>0</v>
      </c>
      <c r="N90" s="193">
        <f t="shared" ca="1" si="28"/>
        <v>0</v>
      </c>
      <c r="O90" s="193">
        <f t="shared" ca="1" si="28"/>
        <v>0</v>
      </c>
      <c r="P90" s="193">
        <f t="shared" ca="1" si="28"/>
        <v>0</v>
      </c>
      <c r="Q90" s="193">
        <f t="shared" ca="1" si="28"/>
        <v>0</v>
      </c>
      <c r="R90" s="193">
        <f t="shared" ca="1" si="28"/>
        <v>0</v>
      </c>
      <c r="S90" s="193"/>
      <c r="T90" s="193"/>
    </row>
    <row r="91" spans="1:20">
      <c r="B91" s="180" t="s">
        <v>37</v>
      </c>
      <c r="H91" s="193">
        <f ca="1">H89-H90</f>
        <v>23</v>
      </c>
      <c r="I91" s="193">
        <f t="shared" ref="I91:R91" ca="1" si="29">I89-I90</f>
        <v>23.689999999999998</v>
      </c>
      <c r="J91" s="193">
        <f t="shared" ca="1" si="29"/>
        <v>24.400699999999997</v>
      </c>
      <c r="K91" s="193">
        <f t="shared" ca="1" si="29"/>
        <v>25.132721</v>
      </c>
      <c r="L91" s="193">
        <f t="shared" ca="1" si="29"/>
        <v>25.886702629999995</v>
      </c>
      <c r="M91" s="193">
        <f t="shared" ca="1" si="29"/>
        <v>26.663303708899996</v>
      </c>
      <c r="N91" s="193">
        <f t="shared" ca="1" si="29"/>
        <v>27.463202820166998</v>
      </c>
      <c r="O91" s="193">
        <f t="shared" ca="1" si="29"/>
        <v>28.287098904772009</v>
      </c>
      <c r="P91" s="193">
        <f t="shared" ca="1" si="29"/>
        <v>29.135711871915166</v>
      </c>
      <c r="Q91" s="193">
        <f t="shared" ca="1" si="29"/>
        <v>30.009783228072621</v>
      </c>
      <c r="R91" s="193">
        <f t="shared" ca="1" si="29"/>
        <v>30.910076724914799</v>
      </c>
      <c r="S91" s="193"/>
      <c r="T91" s="193"/>
    </row>
    <row r="92" spans="1:20">
      <c r="B92" s="180" t="s">
        <v>145</v>
      </c>
      <c r="H92" s="199">
        <f>$G$26</f>
        <v>0.06</v>
      </c>
      <c r="I92" s="199">
        <f t="shared" ref="I92:R92" si="30">$G$26</f>
        <v>0.06</v>
      </c>
      <c r="J92" s="199">
        <f t="shared" si="30"/>
        <v>0.06</v>
      </c>
      <c r="K92" s="199">
        <f t="shared" si="30"/>
        <v>0.06</v>
      </c>
      <c r="L92" s="199">
        <f t="shared" si="30"/>
        <v>0.06</v>
      </c>
      <c r="M92" s="199">
        <f t="shared" si="30"/>
        <v>0.06</v>
      </c>
      <c r="N92" s="199">
        <f t="shared" si="30"/>
        <v>0.06</v>
      </c>
      <c r="O92" s="199">
        <f t="shared" si="30"/>
        <v>0.06</v>
      </c>
      <c r="P92" s="199">
        <f t="shared" si="30"/>
        <v>0.06</v>
      </c>
      <c r="Q92" s="199">
        <f t="shared" si="30"/>
        <v>0.06</v>
      </c>
      <c r="R92" s="199">
        <f t="shared" si="30"/>
        <v>0.06</v>
      </c>
      <c r="S92" s="199"/>
      <c r="T92" s="199"/>
    </row>
    <row r="93" spans="1:20">
      <c r="B93" s="180" t="s">
        <v>104</v>
      </c>
      <c r="H93" s="193">
        <f ca="1">H91*H92</f>
        <v>1.38</v>
      </c>
      <c r="I93" s="193">
        <f t="shared" ref="I93:R93" ca="1" si="31">I91*I92</f>
        <v>1.4213999999999998</v>
      </c>
      <c r="J93" s="193">
        <f t="shared" ca="1" si="31"/>
        <v>1.4640419999999998</v>
      </c>
      <c r="K93" s="193">
        <f t="shared" ca="1" si="31"/>
        <v>1.5079632599999999</v>
      </c>
      <c r="L93" s="193">
        <f t="shared" ca="1" si="31"/>
        <v>1.5532021577999997</v>
      </c>
      <c r="M93" s="193">
        <f t="shared" ca="1" si="31"/>
        <v>1.5997982225339997</v>
      </c>
      <c r="N93" s="193">
        <f t="shared" ca="1" si="31"/>
        <v>1.6477921692100199</v>
      </c>
      <c r="O93" s="193">
        <f t="shared" ca="1" si="31"/>
        <v>1.6972259342863205</v>
      </c>
      <c r="P93" s="193">
        <f t="shared" ca="1" si="31"/>
        <v>1.74814271231491</v>
      </c>
      <c r="Q93" s="193">
        <f t="shared" ca="1" si="31"/>
        <v>1.8005869936843573</v>
      </c>
      <c r="R93" s="193">
        <f t="shared" ca="1" si="31"/>
        <v>1.8546046034948878</v>
      </c>
      <c r="S93" s="193"/>
      <c r="T93" s="193"/>
    </row>
    <row r="95" spans="1:20">
      <c r="A95" s="215"/>
      <c r="B95" s="215"/>
      <c r="C95" s="215"/>
      <c r="D95" s="215"/>
      <c r="E95" s="215"/>
      <c r="F95" s="215"/>
      <c r="G95" s="215"/>
      <c r="H95" s="215"/>
      <c r="I95" s="215"/>
      <c r="J95" s="215"/>
      <c r="K95" s="215"/>
      <c r="L95" s="5"/>
      <c r="M95" s="5"/>
      <c r="N95" s="5"/>
      <c r="O95" s="5"/>
      <c r="P95" s="7"/>
      <c r="Q95" s="5"/>
      <c r="R95" s="5"/>
      <c r="S95" s="5"/>
      <c r="T95" s="5"/>
    </row>
    <row r="96" spans="1:20">
      <c r="A96" s="215"/>
      <c r="B96" s="215"/>
      <c r="C96" s="215"/>
      <c r="D96" s="215"/>
      <c r="E96" s="215"/>
      <c r="F96" s="215"/>
      <c r="G96" s="215"/>
      <c r="H96" s="215"/>
      <c r="I96" s="215"/>
      <c r="J96" s="215"/>
      <c r="K96" s="215"/>
    </row>
    <row r="97" spans="1:11">
      <c r="A97" s="215"/>
      <c r="B97" s="215"/>
      <c r="C97" s="215"/>
      <c r="D97" s="215"/>
      <c r="E97" s="215"/>
      <c r="F97" s="215"/>
      <c r="G97" s="215"/>
      <c r="H97" s="215"/>
      <c r="I97" s="215"/>
      <c r="J97" s="215"/>
      <c r="K97" s="215"/>
    </row>
    <row r="98" spans="1:11">
      <c r="A98" s="215"/>
      <c r="B98" s="215"/>
      <c r="C98" s="215"/>
      <c r="D98" s="215"/>
      <c r="E98" s="215"/>
      <c r="F98" s="215"/>
      <c r="G98" s="215"/>
      <c r="H98" s="215"/>
      <c r="I98" s="215"/>
      <c r="J98" s="215"/>
      <c r="K98" s="215"/>
    </row>
    <row r="99" spans="1:11">
      <c r="A99" s="215"/>
      <c r="B99" s="215"/>
      <c r="C99" s="215"/>
      <c r="D99" s="215"/>
      <c r="E99" s="215"/>
      <c r="F99" s="215"/>
      <c r="G99" s="215"/>
      <c r="H99" s="215"/>
      <c r="I99" s="215"/>
      <c r="J99" s="215"/>
      <c r="K99" s="215"/>
    </row>
    <row r="100" spans="1:11">
      <c r="A100" s="215"/>
      <c r="B100" s="215"/>
      <c r="C100" s="215"/>
      <c r="D100" s="215"/>
      <c r="E100" s="215"/>
      <c r="F100" s="215"/>
      <c r="G100" s="215"/>
      <c r="H100" s="215"/>
      <c r="I100" s="215"/>
      <c r="J100" s="215"/>
      <c r="K100" s="215"/>
    </row>
    <row r="101" spans="1:11">
      <c r="A101" s="215"/>
      <c r="B101" s="215"/>
      <c r="C101" s="215"/>
      <c r="D101" s="215"/>
      <c r="E101" s="215"/>
      <c r="F101" s="215"/>
      <c r="G101" s="215"/>
      <c r="H101" s="215"/>
      <c r="I101" s="215"/>
      <c r="J101" s="215"/>
      <c r="K101" s="215"/>
    </row>
    <row r="102" spans="1:11">
      <c r="A102" s="215"/>
      <c r="B102" s="215"/>
      <c r="C102" s="215"/>
      <c r="D102" s="215"/>
      <c r="E102" s="215"/>
      <c r="F102" s="215"/>
      <c r="G102" s="215"/>
      <c r="H102" s="215"/>
      <c r="I102" s="215"/>
      <c r="J102" s="215"/>
      <c r="K102" s="215"/>
    </row>
    <row r="103" spans="1:11">
      <c r="A103" s="215"/>
      <c r="B103" s="215"/>
      <c r="C103" s="215"/>
      <c r="D103" s="215"/>
      <c r="E103" s="215"/>
      <c r="F103" s="215"/>
      <c r="G103" s="215"/>
      <c r="H103" s="215"/>
      <c r="I103" s="215"/>
      <c r="J103" s="215"/>
      <c r="K103" s="215"/>
    </row>
    <row r="104" spans="1:11">
      <c r="A104" s="215"/>
      <c r="B104" s="215"/>
      <c r="C104" s="215"/>
      <c r="D104" s="215"/>
      <c r="E104" s="215"/>
      <c r="F104" s="215"/>
      <c r="G104" s="215"/>
      <c r="H104" s="215"/>
      <c r="I104" s="215"/>
      <c r="J104" s="215"/>
      <c r="K104" s="215"/>
    </row>
    <row r="105" spans="1:11">
      <c r="A105" s="215"/>
      <c r="B105" s="215"/>
      <c r="C105" s="215"/>
      <c r="D105" s="215"/>
      <c r="E105" s="215"/>
      <c r="F105" s="215"/>
      <c r="G105" s="215"/>
      <c r="H105" s="215"/>
      <c r="I105" s="215"/>
      <c r="J105" s="215"/>
      <c r="K105" s="215"/>
    </row>
    <row r="106" spans="1:11">
      <c r="A106" s="215"/>
      <c r="B106" s="215"/>
      <c r="C106" s="215"/>
      <c r="D106" s="215"/>
      <c r="E106" s="215"/>
      <c r="F106" s="215"/>
      <c r="G106" s="215"/>
      <c r="H106" s="215"/>
      <c r="I106" s="215"/>
      <c r="J106" s="215"/>
      <c r="K106" s="215"/>
    </row>
    <row r="107" spans="1:11">
      <c r="A107" s="215"/>
      <c r="B107" s="215"/>
      <c r="C107" s="215"/>
      <c r="D107" s="215"/>
      <c r="E107" s="215"/>
      <c r="F107" s="215"/>
      <c r="G107" s="215"/>
      <c r="H107" s="215"/>
      <c r="I107" s="215"/>
      <c r="J107" s="215"/>
      <c r="K107" s="215"/>
    </row>
  </sheetData>
  <pageMargins left="0.7" right="0.7" top="0.75" bottom="0.75" header="0.3" footer="0.3"/>
  <pageSetup scale="46" orientation="portrait" r:id="rId1"/>
  <headerFooter>
    <oddHeader xml:space="preserve">&amp;L2019 ULI Hines Student Competition&amp;R2019-331 &amp;A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D0D48330F6CE4FB6B3AE62FA39CE46" ma:contentTypeVersion="12" ma:contentTypeDescription="Create a new document." ma:contentTypeScope="" ma:versionID="d16e14bbbeef8c56e4e5d0cca4ae47c5">
  <xsd:schema xmlns:xsd="http://www.w3.org/2001/XMLSchema" xmlns:xs="http://www.w3.org/2001/XMLSchema" xmlns:p="http://schemas.microsoft.com/office/2006/metadata/properties" xmlns:ns2="07832773-9414-42b9-95c3-36a558d8f74c" xmlns:ns3="9f6012f1-210b-47d8-98a5-79507b18255d" targetNamespace="http://schemas.microsoft.com/office/2006/metadata/properties" ma:root="true" ma:fieldsID="36579591e5340c74db5afa91bc787075" ns2:_="" ns3:_="">
    <xsd:import namespace="07832773-9414-42b9-95c3-36a558d8f74c"/>
    <xsd:import namespace="9f6012f1-210b-47d8-98a5-79507b1825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832773-9414-42b9-95c3-36a558d8f7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6012f1-210b-47d8-98a5-79507b18255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B35197-E9A2-427E-AA11-BDF500DB7A0C}">
  <ds:schemaRefs>
    <ds:schemaRef ds:uri="http://www.w3.org/XML/1998/namespace"/>
    <ds:schemaRef ds:uri="http://purl.org/dc/terms/"/>
    <ds:schemaRef ds:uri="http://schemas.openxmlformats.org/package/2006/metadata/core-properties"/>
    <ds:schemaRef ds:uri="07832773-9414-42b9-95c3-36a558d8f74c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9f6012f1-210b-47d8-98a5-79507b18255d"/>
  </ds:schemaRefs>
</ds:datastoreItem>
</file>

<file path=customXml/itemProps2.xml><?xml version="1.0" encoding="utf-8"?>
<ds:datastoreItem xmlns:ds="http://schemas.openxmlformats.org/officeDocument/2006/customXml" ds:itemID="{6458E60E-8EEA-4AE2-AC4F-375FACF41F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A7F294-CFD7-4714-AF1F-FE772C6F67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832773-9414-42b9-95c3-36a558d8f74c"/>
    <ds:schemaRef ds:uri="9f6012f1-210b-47d8-98a5-79507b1825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Summary Board</vt:lpstr>
      <vt:lpstr>Supplement</vt:lpstr>
      <vt:lpstr>Assumptions</vt:lpstr>
      <vt:lpstr>Parcels</vt:lpstr>
      <vt:lpstr>Summary Board PH1</vt:lpstr>
      <vt:lpstr>Phase I - CF MF Market Rental</vt:lpstr>
      <vt:lpstr>Phase I - CF Affordable</vt:lpstr>
      <vt:lpstr>Phase I - CF Commercial</vt:lpstr>
      <vt:lpstr>Phase I - CF Civic</vt:lpstr>
      <vt:lpstr>Phase I - CF Retail</vt:lpstr>
      <vt:lpstr>Summary Board PH2</vt:lpstr>
      <vt:lpstr>Phase II - CF MF Market Rental</vt:lpstr>
      <vt:lpstr>Phase II - CF Affordable Rent</vt:lpstr>
      <vt:lpstr>Phase II - CF Commercial</vt:lpstr>
      <vt:lpstr>Phase II - CF Retail</vt:lpstr>
      <vt:lpstr>Phase II - CF Civic</vt:lpstr>
      <vt:lpstr>Phase II - CF Hotel</vt:lpstr>
      <vt:lpstr>Assumptions!Print_Area</vt:lpstr>
      <vt:lpstr>Parcels!Print_Area</vt:lpstr>
      <vt:lpstr>'Phase I - CF Affordable'!Print_Area</vt:lpstr>
      <vt:lpstr>'Phase I - CF Civic'!Print_Area</vt:lpstr>
      <vt:lpstr>'Phase I - CF Commercial'!Print_Area</vt:lpstr>
      <vt:lpstr>'Phase I - CF MF Market Rental'!Print_Area</vt:lpstr>
      <vt:lpstr>'Phase I - CF Retail'!Print_Area</vt:lpstr>
      <vt:lpstr>'Phase II - CF Affordable Rent'!Print_Area</vt:lpstr>
      <vt:lpstr>'Phase II - CF Civic'!Print_Area</vt:lpstr>
      <vt:lpstr>'Phase II - CF Commercial'!Print_Area</vt:lpstr>
      <vt:lpstr>'Phase II - CF Hotel'!Print_Area</vt:lpstr>
      <vt:lpstr>'Phase II - CF MF Market Rental'!Print_Area</vt:lpstr>
      <vt:lpstr>'Phase II - CF Retail'!Print_Area</vt:lpstr>
      <vt:lpstr>'Summary Board'!Print_Area</vt:lpstr>
      <vt:lpstr>'Summary Board PH1'!Print_Area</vt:lpstr>
      <vt:lpstr>'Summary Board PH2'!Print_Area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Allyn</dc:creator>
  <cp:lastModifiedBy>Stephanie Guttormson</cp:lastModifiedBy>
  <cp:lastPrinted>2021-01-24T19:57:46Z</cp:lastPrinted>
  <dcterms:created xsi:type="dcterms:W3CDTF">2021-01-19T18:30:02Z</dcterms:created>
  <dcterms:modified xsi:type="dcterms:W3CDTF">2021-01-27T16:36:48Z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0x01010007D0D48330F6CE4FB6B3AE62FA39CE46</vt:lpwstr>
  </property>
</Properties>
</file>