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  <Override PartName="/xl/threadedComments/threadedComment10.xml" ContentType="application/vnd.ms-excel.threadedcomments+xml"/>
  <Override PartName="/xl/threadedComments/threadedComment1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tecture\Competitions\ULI Hines Competition_2021\07_Submission_EntryRound\"/>
    </mc:Choice>
  </mc:AlternateContent>
  <xr:revisionPtr revIDLastSave="0" documentId="13_ncr:1_{1CF05938-ADEA-4E53-8315-27E73EE03121}" xr6:coauthVersionLast="46" xr6:coauthVersionMax="46" xr10:uidLastSave="{00000000-0000-0000-0000-000000000000}"/>
  <bookViews>
    <workbookView xWindow="-120" yWindow="-120" windowWidth="29040" windowHeight="15840" tabRatio="904" xr2:uid="{00000000-000D-0000-FFFF-FFFF00000000}"/>
  </bookViews>
  <sheets>
    <sheet name="Summary Board" sheetId="28" r:id="rId1"/>
    <sheet name="1.Infrastructure Costs" sheetId="15" r:id="rId2"/>
    <sheet name="2.Market-rate Rental Housing" sheetId="14" r:id="rId3"/>
    <sheet name="3.Market-rate For-Sale Housing" sheetId="19" r:id="rId4"/>
    <sheet name="4.Affordable Rental Housing" sheetId="26" r:id="rId5"/>
    <sheet name="6.Office_Commercial" sheetId="20" r:id="rId6"/>
    <sheet name="5.Affordable For-Sale Housing" sheetId="27" state="hidden" r:id="rId7"/>
    <sheet name="7.Market-rate Retail" sheetId="22" r:id="rId8"/>
    <sheet name="8.Hotel" sheetId="23" state="hidden" r:id="rId9"/>
    <sheet name="9.Underground Parking" sheetId="18" r:id="rId10"/>
    <sheet name="10.Market-rate Institutional" sheetId="37" r:id="rId11"/>
    <sheet name="Other Sheets" sheetId="38" r:id="rId12"/>
    <sheet name="Massing" sheetId="36" r:id="rId13"/>
    <sheet name=" Infrastructure Schedule" sheetId="31" r:id="rId14"/>
    <sheet name="Budget" sheetId="34" r:id="rId15"/>
    <sheet name="Building Summary" sheetId="40" r:id="rId16"/>
    <sheet name="Sheet1" sheetId="41" state="hidden" r:id="rId17"/>
    <sheet name="10.Surface Parking" sheetId="24" state="hidden" r:id="rId18"/>
  </sheets>
  <externalReferences>
    <externalReference r:id="rId19"/>
    <externalReference r:id="rId20"/>
  </externalReferences>
  <definedNames>
    <definedName name="LandPhaseI">'[1]Assumptions-Land&amp;Infrastructure'!$F$8</definedName>
    <definedName name="LandPhaseII">'[1]Assumptions-Land&amp;Infrastructure'!$F$9</definedName>
    <definedName name="LandPhaseIII">'[1]Assumptions-Land&amp;Infrastructure'!$F$10</definedName>
    <definedName name="PhaseIComplete">'[1]Assumptions-Overall'!$C$11</definedName>
    <definedName name="PhaseIConBegin">'[1]Assumptions-Overall'!$C$10</definedName>
    <definedName name="PhaseIConEnd">'[1]Assumptions-Overall'!$E$10</definedName>
    <definedName name="PhaseIIComplete">'[1]Assumptions-Overall'!$C$18</definedName>
    <definedName name="PhaseIIConBegin">'[1]Assumptions-Overall'!$C$17</definedName>
    <definedName name="PhaseIIConEnd">'[1]Assumptions-Overall'!$E$17</definedName>
    <definedName name="PhaseIIIComplete">'[1]Assumptions-Overall'!$C$25</definedName>
    <definedName name="PhaseIIIConBegin">'[1]Assumptions-Overall'!$C$24</definedName>
    <definedName name="PhaseIIIConEnd">'[1]Assumptions-Overall'!$E$24</definedName>
    <definedName name="PhaseIIIPreconBegin">'[1]Assumptions-Overall'!$C$23</definedName>
    <definedName name="PhaseIIIRefi">'[1]Assumptions-Overall'!$C$26</definedName>
    <definedName name="PhaseIIPreconBegin">'[1]Assumptions-Overall'!$C$16</definedName>
    <definedName name="PhaseIIRefi">'[1]Assumptions-Overall'!$C$19</definedName>
    <definedName name="PhaseIPreconBegin">'[1]Assumptions-Overall'!$C$9</definedName>
    <definedName name="PhaseIRefi">'[1]Assumptions-Overall'!$C$12</definedName>
    <definedName name="_xlnm.Print_Area" localSheetId="13">' Infrastructure Schedule'!$B$2:$N$20</definedName>
    <definedName name="_xlnm.Print_Area" localSheetId="1">'1.Infrastructure Costs'!$B$1:$O$40</definedName>
    <definedName name="_xlnm.Print_Area" localSheetId="10">'10.Market-rate Institutional'!$A$1:$M$72</definedName>
    <definedName name="_xlnm.Print_Area" localSheetId="2">'2.Market-rate Rental Housing'!$A$1:$N$69</definedName>
    <definedName name="_xlnm.Print_Area" localSheetId="3">'3.Market-rate For-Sale Housing'!$A$1:$M$67</definedName>
    <definedName name="_xlnm.Print_Area" localSheetId="4">'4.Affordable Rental Housing'!$A$2:$N$70</definedName>
    <definedName name="_xlnm.Print_Area" localSheetId="6">'5.Affordable For-Sale Housing'!$A$1:$M$27</definedName>
    <definedName name="_xlnm.Print_Area" localSheetId="5">'6.Office_Commercial'!$A$2:$M$143</definedName>
    <definedName name="_xlnm.Print_Area" localSheetId="7">'7.Market-rate Retail'!$A$2:$M$80</definedName>
    <definedName name="_xlnm.Print_Area" localSheetId="8">'8.Hotel'!$A$1:$M$27</definedName>
    <definedName name="_xlnm.Print_Area" localSheetId="9">'9.Underground Parking'!$A$2:$M$181</definedName>
    <definedName name="_xlnm.Print_Area" localSheetId="14">Budget!$B$3:$N$82</definedName>
    <definedName name="_xlnm.Print_Area" localSheetId="15">'Building Summary'!$B$1:$K$596</definedName>
    <definedName name="_xlnm.Print_Area" localSheetId="12">Massing!$A$1:$O$133</definedName>
    <definedName name="_xlnm.Print_Area" localSheetId="0">'Summary Board'!$A$1:$N$140</definedName>
    <definedName name="ProjectName">[1]BuildingSummary!$C$3</definedName>
    <definedName name="TeamNumber">[1]BuildingSummary!$C$4</definedName>
  </definedNames>
  <calcPr calcId="181029"/>
</workbook>
</file>

<file path=xl/calcChain.xml><?xml version="1.0" encoding="utf-8"?>
<calcChain xmlns="http://schemas.openxmlformats.org/spreadsheetml/2006/main">
  <c r="D107" i="40" l="1"/>
  <c r="E46" i="36"/>
  <c r="T8" i="41" l="1"/>
  <c r="T5" i="41"/>
  <c r="C115" i="41"/>
  <c r="C111" i="41"/>
  <c r="C110" i="41"/>
  <c r="C90" i="41"/>
  <c r="D108" i="41"/>
  <c r="F108" i="41" s="1"/>
  <c r="D88" i="41"/>
  <c r="F88" i="41" s="1"/>
  <c r="F95" i="41" s="1"/>
  <c r="C79" i="41"/>
  <c r="C78" i="41"/>
  <c r="D76" i="41"/>
  <c r="F76" i="41" s="1"/>
  <c r="T22" i="41"/>
  <c r="S22" i="41"/>
  <c r="T21" i="41"/>
  <c r="S21" i="41"/>
  <c r="F115" i="41" l="1"/>
  <c r="F83" i="41"/>
  <c r="S13" i="41"/>
  <c r="S12" i="41"/>
  <c r="S7" i="41"/>
  <c r="S6" i="41"/>
  <c r="D68" i="41"/>
  <c r="D67" i="41"/>
  <c r="D58" i="41"/>
  <c r="F58" i="41" s="1"/>
  <c r="D41" i="41"/>
  <c r="F41" i="41" s="1"/>
  <c r="C65" i="41"/>
  <c r="C61" i="41"/>
  <c r="C71" i="41"/>
  <c r="C70" i="41"/>
  <c r="C69" i="41"/>
  <c r="C60" i="41"/>
  <c r="C68" i="41"/>
  <c r="C67" i="41"/>
  <c r="C48" i="41"/>
  <c r="C44" i="41"/>
  <c r="C43" i="41"/>
  <c r="D26" i="41"/>
  <c r="F26" i="41"/>
  <c r="C12" i="41"/>
  <c r="C11" i="41"/>
  <c r="C10" i="41"/>
  <c r="F7" i="41"/>
  <c r="D7" i="41"/>
  <c r="C60" i="14"/>
  <c r="E179" i="40"/>
  <c r="C59" i="14"/>
  <c r="B60" i="14"/>
  <c r="B59" i="14"/>
  <c r="C58" i="14"/>
  <c r="B58" i="14"/>
  <c r="E58" i="14" s="1"/>
  <c r="B9" i="26"/>
  <c r="E62" i="26"/>
  <c r="E61" i="26"/>
  <c r="B61" i="26"/>
  <c r="B62" i="26"/>
  <c r="C62" i="26"/>
  <c r="C61" i="26"/>
  <c r="E60" i="26"/>
  <c r="C60" i="26"/>
  <c r="B60" i="26"/>
  <c r="E328" i="40"/>
  <c r="D328" i="40"/>
  <c r="D318" i="40"/>
  <c r="D317" i="40"/>
  <c r="E252" i="40"/>
  <c r="D252" i="40"/>
  <c r="D316" i="40"/>
  <c r="D241" i="40"/>
  <c r="D243" i="40" s="1"/>
  <c r="D168" i="40"/>
  <c r="D167" i="40"/>
  <c r="I16" i="40"/>
  <c r="F65" i="41" l="1"/>
  <c r="F48" i="41"/>
  <c r="E60" i="14"/>
  <c r="C61" i="14"/>
  <c r="B61" i="14"/>
  <c r="E59" i="14"/>
  <c r="D242" i="40"/>
  <c r="B14" i="14"/>
  <c r="E66" i="14"/>
  <c r="B9" i="14" s="1"/>
  <c r="B16" i="19"/>
  <c r="B10" i="19"/>
  <c r="B12" i="26"/>
  <c r="B16" i="26"/>
  <c r="E64" i="19"/>
  <c r="E66" i="19"/>
  <c r="B32" i="26"/>
  <c r="B24" i="37"/>
  <c r="B36" i="37"/>
  <c r="B12" i="14"/>
  <c r="B14" i="22"/>
  <c r="B41" i="18"/>
  <c r="B59" i="18"/>
  <c r="B23" i="22"/>
  <c r="B63" i="20"/>
  <c r="B16" i="22"/>
  <c r="D17" i="15"/>
  <c r="E6" i="40"/>
  <c r="E7" i="40"/>
  <c r="E8" i="40"/>
  <c r="E9" i="40"/>
  <c r="E10" i="40"/>
  <c r="E11" i="40"/>
  <c r="E5" i="40"/>
  <c r="D6" i="40"/>
  <c r="D7" i="40"/>
  <c r="D8" i="40"/>
  <c r="D9" i="40"/>
  <c r="D10" i="40"/>
  <c r="D11" i="40"/>
  <c r="D5" i="40"/>
  <c r="B5" i="40"/>
  <c r="B6" i="40"/>
  <c r="B7" i="40"/>
  <c r="B8" i="40"/>
  <c r="B9" i="40"/>
  <c r="B10" i="40"/>
  <c r="B11" i="40"/>
  <c r="D21" i="34"/>
  <c r="J89" i="28" s="1"/>
  <c r="E96" i="28"/>
  <c r="B95" i="28"/>
  <c r="B94" i="28"/>
  <c r="B93" i="28"/>
  <c r="B92" i="28"/>
  <c r="B89" i="28"/>
  <c r="Q21" i="15"/>
  <c r="K46" i="28"/>
  <c r="F27" i="28"/>
  <c r="G27" i="28"/>
  <c r="J27" i="28"/>
  <c r="L27" i="28"/>
  <c r="M27" i="28"/>
  <c r="N27" i="28"/>
  <c r="G21" i="15"/>
  <c r="H21" i="15"/>
  <c r="I21" i="15"/>
  <c r="J21" i="15"/>
  <c r="K21" i="15"/>
  <c r="L21" i="15"/>
  <c r="M21" i="15"/>
  <c r="N21" i="15"/>
  <c r="O21" i="15"/>
  <c r="F21" i="15"/>
  <c r="D24" i="28"/>
  <c r="E97" i="28" s="1"/>
  <c r="E61" i="14" l="1"/>
  <c r="F10" i="40"/>
  <c r="F9" i="40"/>
  <c r="F6" i="40"/>
  <c r="F8" i="40"/>
  <c r="F7" i="40"/>
  <c r="F5" i="40"/>
  <c r="F11" i="40"/>
  <c r="E81" i="28"/>
  <c r="F74" i="34" l="1"/>
  <c r="G74" i="34" s="1"/>
  <c r="H74" i="34" s="1"/>
  <c r="I74" i="34" s="1"/>
  <c r="J74" i="34" s="1"/>
  <c r="K74" i="34" s="1"/>
  <c r="L74" i="34" s="1"/>
  <c r="M74" i="34" s="1"/>
  <c r="N74" i="34" s="1"/>
  <c r="D598" i="40"/>
  <c r="F561" i="40"/>
  <c r="D550" i="40"/>
  <c r="E540" i="40"/>
  <c r="F530" i="40"/>
  <c r="E530" i="40"/>
  <c r="D530" i="40"/>
  <c r="F526" i="40"/>
  <c r="E526" i="40"/>
  <c r="D526" i="40"/>
  <c r="F521" i="40"/>
  <c r="D516" i="40"/>
  <c r="D515" i="40"/>
  <c r="D514" i="40"/>
  <c r="D513" i="40"/>
  <c r="F472" i="40"/>
  <c r="D461" i="40"/>
  <c r="E451" i="40"/>
  <c r="F427" i="40"/>
  <c r="E427" i="40"/>
  <c r="D427" i="40"/>
  <c r="F423" i="40"/>
  <c r="E423" i="40"/>
  <c r="D423" i="40"/>
  <c r="F418" i="40"/>
  <c r="D438" i="40"/>
  <c r="D409" i="40"/>
  <c r="D404" i="40"/>
  <c r="D403" i="40"/>
  <c r="F366" i="40"/>
  <c r="F356" i="40"/>
  <c r="E356" i="40"/>
  <c r="D356" i="40"/>
  <c r="F352" i="40"/>
  <c r="E352" i="40"/>
  <c r="D352" i="40"/>
  <c r="F347" i="40"/>
  <c r="E337" i="40"/>
  <c r="D337" i="40"/>
  <c r="G336" i="40"/>
  <c r="G337" i="40" s="1"/>
  <c r="F336" i="40"/>
  <c r="F337" i="40" s="1"/>
  <c r="G330" i="40"/>
  <c r="F330" i="40"/>
  <c r="E330" i="40"/>
  <c r="D330" i="40"/>
  <c r="F327" i="40"/>
  <c r="G327" i="40" s="1"/>
  <c r="E327" i="40"/>
  <c r="E367" i="40"/>
  <c r="E370" i="40" s="1"/>
  <c r="E348" i="40"/>
  <c r="E349" i="40" s="1"/>
  <c r="D311" i="40"/>
  <c r="D310" i="40"/>
  <c r="F272" i="40"/>
  <c r="E261" i="40"/>
  <c r="D261" i="40"/>
  <c r="G260" i="40"/>
  <c r="G261" i="40" s="1"/>
  <c r="F260" i="40"/>
  <c r="F261" i="40" s="1"/>
  <c r="G254" i="40"/>
  <c r="F254" i="40"/>
  <c r="E254" i="40"/>
  <c r="D254" i="40"/>
  <c r="F251" i="40"/>
  <c r="E251" i="40"/>
  <c r="D273" i="40"/>
  <c r="D276" i="40" s="1"/>
  <c r="D240" i="40"/>
  <c r="D307" i="40" s="1"/>
  <c r="D235" i="40"/>
  <c r="D234" i="40"/>
  <c r="F196" i="40"/>
  <c r="G188" i="40"/>
  <c r="F188" i="40"/>
  <c r="E186" i="40"/>
  <c r="D186" i="40"/>
  <c r="G185" i="40"/>
  <c r="F185" i="40"/>
  <c r="G181" i="40"/>
  <c r="G179" i="40" s="1"/>
  <c r="F181" i="40"/>
  <c r="F179" i="40" s="1"/>
  <c r="D179" i="40"/>
  <c r="F176" i="40"/>
  <c r="E176" i="40"/>
  <c r="E197" i="40"/>
  <c r="E200" i="40" s="1"/>
  <c r="D231" i="40"/>
  <c r="D160" i="40"/>
  <c r="D159" i="40" s="1"/>
  <c r="D130" i="40"/>
  <c r="E120" i="40"/>
  <c r="D121" i="40"/>
  <c r="D124" i="40" s="1"/>
  <c r="D125" i="40" s="1"/>
  <c r="D94" i="40"/>
  <c r="F75" i="40"/>
  <c r="F77" i="40" s="1"/>
  <c r="E44" i="40"/>
  <c r="F34" i="40"/>
  <c r="E34" i="40"/>
  <c r="D34" i="40"/>
  <c r="F30" i="40"/>
  <c r="E30" i="40"/>
  <c r="D30" i="40"/>
  <c r="F25" i="40"/>
  <c r="D62" i="40"/>
  <c r="D45" i="40"/>
  <c r="D48" i="40" s="1"/>
  <c r="E26" i="40"/>
  <c r="E27" i="40" s="1"/>
  <c r="D408" i="40"/>
  <c r="D315" i="40"/>
  <c r="H6" i="40"/>
  <c r="I6" i="40" s="1"/>
  <c r="D15" i="40"/>
  <c r="I16" i="15"/>
  <c r="L16" i="15"/>
  <c r="K17" i="15"/>
  <c r="N17" i="15"/>
  <c r="O17" i="15"/>
  <c r="I18" i="15"/>
  <c r="J18" i="15"/>
  <c r="K18" i="15"/>
  <c r="F18" i="15"/>
  <c r="F16" i="15"/>
  <c r="J10" i="15"/>
  <c r="M10" i="15"/>
  <c r="H11" i="15"/>
  <c r="K11" i="15"/>
  <c r="K9" i="31"/>
  <c r="E9" i="31"/>
  <c r="B9" i="31"/>
  <c r="D21" i="15"/>
  <c r="D20" i="15"/>
  <c r="D19" i="15"/>
  <c r="K19" i="15" s="1"/>
  <c r="D18" i="15"/>
  <c r="H17" i="15"/>
  <c r="D16" i="15"/>
  <c r="D15" i="15"/>
  <c r="D14" i="15"/>
  <c r="L14" i="15" s="1"/>
  <c r="B21" i="15"/>
  <c r="C20" i="15"/>
  <c r="C19" i="15"/>
  <c r="C17" i="15"/>
  <c r="C18" i="15"/>
  <c r="C14" i="15"/>
  <c r="D13" i="15"/>
  <c r="D12" i="15"/>
  <c r="D11" i="15"/>
  <c r="I20" i="31"/>
  <c r="H20" i="31"/>
  <c r="F17" i="31"/>
  <c r="E10" i="31"/>
  <c r="F12" i="15" s="1"/>
  <c r="R4" i="31"/>
  <c r="E7" i="31" s="1"/>
  <c r="T4" i="31"/>
  <c r="R5" i="31"/>
  <c r="H7" i="31" s="1"/>
  <c r="R6" i="31"/>
  <c r="K7" i="31" s="1"/>
  <c r="R7" i="31"/>
  <c r="U7" i="31" s="1"/>
  <c r="R8" i="31"/>
  <c r="U8" i="31" s="1"/>
  <c r="R9" i="31"/>
  <c r="U9" i="31" s="1"/>
  <c r="T11" i="31"/>
  <c r="T12" i="31" s="1"/>
  <c r="U13" i="31"/>
  <c r="R14" i="31"/>
  <c r="U14" i="31" s="1"/>
  <c r="U15" i="31"/>
  <c r="R16" i="31"/>
  <c r="F14" i="31" s="1"/>
  <c r="T16" i="31"/>
  <c r="T17" i="31" s="1"/>
  <c r="R17" i="31"/>
  <c r="H14" i="31" s="1"/>
  <c r="R19" i="31"/>
  <c r="G17" i="31" s="1"/>
  <c r="T19" i="31"/>
  <c r="U19" i="31" s="1"/>
  <c r="R20" i="31"/>
  <c r="I17" i="31" s="1"/>
  <c r="J15" i="15" s="1"/>
  <c r="R21" i="31"/>
  <c r="L17" i="31" s="1"/>
  <c r="M15" i="15" s="1"/>
  <c r="R22" i="31"/>
  <c r="L12" i="31" s="1"/>
  <c r="M17" i="15" s="1"/>
  <c r="T22" i="31"/>
  <c r="T23" i="31" s="1"/>
  <c r="T24" i="31" s="1"/>
  <c r="R23" i="31"/>
  <c r="I12" i="31" s="1"/>
  <c r="R24" i="31"/>
  <c r="R25" i="31"/>
  <c r="U25" i="31" s="1"/>
  <c r="T26" i="31"/>
  <c r="R27" i="31"/>
  <c r="R28" i="31"/>
  <c r="U28" i="31" s="1"/>
  <c r="R29" i="31"/>
  <c r="R32" i="31" s="1"/>
  <c r="U32" i="31" s="1"/>
  <c r="T29" i="31"/>
  <c r="R33" i="31"/>
  <c r="U33" i="31" s="1"/>
  <c r="U34" i="31"/>
  <c r="R35" i="31"/>
  <c r="F16" i="31" s="1"/>
  <c r="R36" i="31"/>
  <c r="U36" i="31" s="1"/>
  <c r="R37" i="31"/>
  <c r="L16" i="31" s="1"/>
  <c r="M20" i="15" s="1"/>
  <c r="U38" i="31"/>
  <c r="U39" i="31"/>
  <c r="U40" i="31"/>
  <c r="K11" i="36"/>
  <c r="D11" i="36"/>
  <c r="C11" i="36"/>
  <c r="G10" i="36"/>
  <c r="H10" i="36" s="1"/>
  <c r="I10" i="36" s="1"/>
  <c r="E10" i="36"/>
  <c r="G9" i="36"/>
  <c r="H9" i="36" s="1"/>
  <c r="I9" i="36" s="1"/>
  <c r="E9" i="36"/>
  <c r="G8" i="36"/>
  <c r="H8" i="36" s="1"/>
  <c r="I8" i="36" s="1"/>
  <c r="E8" i="36"/>
  <c r="G7" i="36"/>
  <c r="H7" i="36" s="1"/>
  <c r="I7" i="36" s="1"/>
  <c r="E7" i="36"/>
  <c r="G6" i="36"/>
  <c r="H6" i="36" s="1"/>
  <c r="I6" i="36" s="1"/>
  <c r="E6" i="36"/>
  <c r="G5" i="36"/>
  <c r="H5" i="36" s="1"/>
  <c r="I5" i="36" s="1"/>
  <c r="E5" i="36"/>
  <c r="G4" i="36"/>
  <c r="G11" i="36" s="1"/>
  <c r="E4" i="36"/>
  <c r="C122" i="28"/>
  <c r="C118" i="28"/>
  <c r="C117" i="28"/>
  <c r="C114" i="28"/>
  <c r="F62" i="28"/>
  <c r="M62" i="28"/>
  <c r="N62" i="28"/>
  <c r="K63" i="28"/>
  <c r="J65" i="28"/>
  <c r="L65" i="28"/>
  <c r="E65" i="28"/>
  <c r="L57" i="28"/>
  <c r="M57" i="28"/>
  <c r="N57" i="28"/>
  <c r="K57" i="28"/>
  <c r="I57" i="28"/>
  <c r="J57" i="28"/>
  <c r="H57" i="28"/>
  <c r="F57" i="28"/>
  <c r="G57" i="28"/>
  <c r="E57" i="28"/>
  <c r="I56" i="28"/>
  <c r="H56" i="28"/>
  <c r="L55" i="28"/>
  <c r="M55" i="28"/>
  <c r="N55" i="28"/>
  <c r="K55" i="28"/>
  <c r="L54" i="28"/>
  <c r="M54" i="28"/>
  <c r="N54" i="28"/>
  <c r="G54" i="28"/>
  <c r="E54" i="28"/>
  <c r="L53" i="28"/>
  <c r="M53" i="28"/>
  <c r="K53" i="28"/>
  <c r="I53" i="28"/>
  <c r="H53" i="28"/>
  <c r="F53" i="28"/>
  <c r="E53" i="28"/>
  <c r="F51" i="28"/>
  <c r="G51" i="28" s="1"/>
  <c r="H51" i="28" s="1"/>
  <c r="I51" i="28" s="1"/>
  <c r="J51" i="28" s="1"/>
  <c r="K51" i="28" s="1"/>
  <c r="L51" i="28" s="1"/>
  <c r="M51" i="28" s="1"/>
  <c r="N51" i="28" s="1"/>
  <c r="B61" i="20"/>
  <c r="C61" i="20" s="1"/>
  <c r="D61" i="20" s="1"/>
  <c r="E61" i="20" s="1"/>
  <c r="F61" i="20" s="1"/>
  <c r="G61" i="20" s="1"/>
  <c r="F3" i="28"/>
  <c r="G3" i="28" s="1"/>
  <c r="H3" i="28" s="1"/>
  <c r="I3" i="28" s="1"/>
  <c r="J3" i="28" s="1"/>
  <c r="K3" i="28" s="1"/>
  <c r="L3" i="28" s="1"/>
  <c r="M3" i="28" s="1"/>
  <c r="N3" i="28" s="1"/>
  <c r="B38" i="37"/>
  <c r="B37" i="37"/>
  <c r="B23" i="37"/>
  <c r="B16" i="37"/>
  <c r="D16" i="37" s="1"/>
  <c r="B11" i="37"/>
  <c r="C11" i="37" s="1"/>
  <c r="D11" i="37" s="1"/>
  <c r="E11" i="37" s="1"/>
  <c r="F11" i="37" s="1"/>
  <c r="G11" i="37" s="1"/>
  <c r="H11" i="37" s="1"/>
  <c r="I11" i="37" s="1"/>
  <c r="J11" i="37" s="1"/>
  <c r="K11" i="37" s="1"/>
  <c r="L11" i="37" s="1"/>
  <c r="M11" i="37" s="1"/>
  <c r="B12" i="37"/>
  <c r="C12" i="37" s="1"/>
  <c r="D12" i="37" s="1"/>
  <c r="E12" i="37" s="1"/>
  <c r="F12" i="37" s="1"/>
  <c r="G12" i="37" s="1"/>
  <c r="H12" i="37" s="1"/>
  <c r="I12" i="37" s="1"/>
  <c r="J12" i="37" s="1"/>
  <c r="K12" i="37" s="1"/>
  <c r="L12" i="37" s="1"/>
  <c r="M12" i="37" s="1"/>
  <c r="B10" i="37"/>
  <c r="C10" i="37" s="1"/>
  <c r="D10" i="37" s="1"/>
  <c r="E10" i="37" s="1"/>
  <c r="F10" i="37" s="1"/>
  <c r="G10" i="37" s="1"/>
  <c r="H10" i="37" s="1"/>
  <c r="I10" i="37" s="1"/>
  <c r="J10" i="37" s="1"/>
  <c r="K10" i="37" s="1"/>
  <c r="L10" i="37" s="1"/>
  <c r="M10" i="37" s="1"/>
  <c r="J29" i="37"/>
  <c r="K29" i="37" s="1"/>
  <c r="L29" i="37" s="1"/>
  <c r="M29" i="37" s="1"/>
  <c r="G29" i="37"/>
  <c r="H29" i="37" s="1"/>
  <c r="D29" i="37"/>
  <c r="E29" i="37" s="1"/>
  <c r="I28" i="37"/>
  <c r="I8" i="37" s="1"/>
  <c r="I14" i="37" s="1"/>
  <c r="J59" i="28" s="1"/>
  <c r="F28" i="37"/>
  <c r="F8" i="37" s="1"/>
  <c r="F14" i="37" s="1"/>
  <c r="G59" i="28" s="1"/>
  <c r="K8" i="37"/>
  <c r="L67" i="28" s="1"/>
  <c r="L8" i="37"/>
  <c r="M67" i="28" s="1"/>
  <c r="M8" i="37"/>
  <c r="M14" i="37" s="1"/>
  <c r="N59" i="28" s="1"/>
  <c r="J8" i="37"/>
  <c r="J14" i="37" s="1"/>
  <c r="K59" i="28" s="1"/>
  <c r="G8" i="37"/>
  <c r="G14" i="37" s="1"/>
  <c r="H59" i="28" s="1"/>
  <c r="H8" i="37"/>
  <c r="H14" i="37" s="1"/>
  <c r="I59" i="28" s="1"/>
  <c r="D8" i="37"/>
  <c r="E67" i="28" s="1"/>
  <c r="E8" i="37"/>
  <c r="E14" i="37" s="1"/>
  <c r="F59" i="28" s="1"/>
  <c r="C8" i="37"/>
  <c r="C14" i="37" s="1"/>
  <c r="B9" i="37"/>
  <c r="C9" i="37" s="1"/>
  <c r="D9" i="37" s="1"/>
  <c r="E9" i="37" s="1"/>
  <c r="F9" i="37" s="1"/>
  <c r="G9" i="37" s="1"/>
  <c r="H9" i="37" s="1"/>
  <c r="I9" i="37" s="1"/>
  <c r="J9" i="37" s="1"/>
  <c r="K9" i="37" s="1"/>
  <c r="L9" i="37" s="1"/>
  <c r="M9" i="37" s="1"/>
  <c r="M30" i="37" s="1"/>
  <c r="B8" i="37"/>
  <c r="C59" i="18"/>
  <c r="D59" i="18" s="1"/>
  <c r="E59" i="18" s="1"/>
  <c r="F59" i="18" s="1"/>
  <c r="G59" i="18" s="1"/>
  <c r="H59" i="18" s="1"/>
  <c r="I59" i="18" s="1"/>
  <c r="J59" i="18" s="1"/>
  <c r="K59" i="18" s="1"/>
  <c r="L59" i="18" s="1"/>
  <c r="M59" i="18" s="1"/>
  <c r="M82" i="18" s="1"/>
  <c r="B33" i="18"/>
  <c r="C33" i="18" s="1"/>
  <c r="D33" i="18" s="1"/>
  <c r="B26" i="18"/>
  <c r="C26" i="18" s="1"/>
  <c r="D26" i="18" s="1"/>
  <c r="E26" i="18" s="1"/>
  <c r="F26" i="18" s="1"/>
  <c r="G26" i="18" s="1"/>
  <c r="H26" i="18" s="1"/>
  <c r="I26" i="18" s="1"/>
  <c r="J26" i="18" s="1"/>
  <c r="K26" i="18" s="1"/>
  <c r="L26" i="18" s="1"/>
  <c r="M26" i="18" s="1"/>
  <c r="B12" i="18"/>
  <c r="C12" i="18" s="1"/>
  <c r="D12" i="18" s="1"/>
  <c r="E12" i="18" s="1"/>
  <c r="F12" i="18" s="1"/>
  <c r="G12" i="18" s="1"/>
  <c r="H12" i="18" s="1"/>
  <c r="I12" i="18" s="1"/>
  <c r="J12" i="18" s="1"/>
  <c r="K12" i="18" s="1"/>
  <c r="L12" i="18" s="1"/>
  <c r="M12" i="18" s="1"/>
  <c r="B103" i="18"/>
  <c r="B101" i="18"/>
  <c r="B89" i="18"/>
  <c r="K60" i="18"/>
  <c r="L60" i="18"/>
  <c r="M60" i="18"/>
  <c r="J60" i="18"/>
  <c r="H60" i="18"/>
  <c r="G60" i="18"/>
  <c r="E60" i="18"/>
  <c r="D60" i="18"/>
  <c r="K54" i="18"/>
  <c r="L54" i="18"/>
  <c r="M54" i="18"/>
  <c r="J54" i="18"/>
  <c r="H54" i="18"/>
  <c r="I54" i="18"/>
  <c r="G54" i="18"/>
  <c r="E54" i="18"/>
  <c r="D54" i="18"/>
  <c r="K48" i="18"/>
  <c r="L48" i="18"/>
  <c r="M48" i="18"/>
  <c r="J48" i="18"/>
  <c r="H48" i="18"/>
  <c r="G48" i="18"/>
  <c r="E48" i="18"/>
  <c r="D48" i="18"/>
  <c r="K42" i="18"/>
  <c r="L42" i="18"/>
  <c r="M42" i="18"/>
  <c r="J42" i="18"/>
  <c r="H42" i="18"/>
  <c r="G42" i="18"/>
  <c r="E42" i="18"/>
  <c r="D42" i="18"/>
  <c r="K34" i="18"/>
  <c r="L34" i="18"/>
  <c r="M34" i="18"/>
  <c r="J34" i="18"/>
  <c r="H34" i="18"/>
  <c r="G34" i="18"/>
  <c r="E34" i="18"/>
  <c r="D34" i="18"/>
  <c r="K27" i="18"/>
  <c r="L27" i="18"/>
  <c r="M27" i="18"/>
  <c r="J27" i="18"/>
  <c r="H27" i="18"/>
  <c r="G27" i="18"/>
  <c r="E27" i="18"/>
  <c r="D27" i="18"/>
  <c r="K20" i="18"/>
  <c r="L20" i="18"/>
  <c r="M20" i="18"/>
  <c r="J20" i="18"/>
  <c r="H20" i="18"/>
  <c r="G20" i="18"/>
  <c r="E20" i="18"/>
  <c r="D20" i="18"/>
  <c r="K13" i="18"/>
  <c r="L13" i="18"/>
  <c r="M13" i="18"/>
  <c r="J13" i="18"/>
  <c r="H13" i="18"/>
  <c r="G13" i="18"/>
  <c r="E13" i="18"/>
  <c r="D13" i="18"/>
  <c r="B38" i="18"/>
  <c r="B49" i="18"/>
  <c r="D49" i="18" s="1"/>
  <c r="E49" i="18" s="1"/>
  <c r="F49" i="18" s="1"/>
  <c r="G49" i="18" s="1"/>
  <c r="H49" i="18" s="1"/>
  <c r="I49" i="18" s="1"/>
  <c r="J49" i="18" s="1"/>
  <c r="K49" i="18" s="1"/>
  <c r="L49" i="18" s="1"/>
  <c r="M49" i="18" s="1"/>
  <c r="B43" i="18"/>
  <c r="D43" i="18" s="1"/>
  <c r="E43" i="18" s="1"/>
  <c r="F43" i="18" s="1"/>
  <c r="G43" i="18" s="1"/>
  <c r="H43" i="18" s="1"/>
  <c r="I43" i="18" s="1"/>
  <c r="J43" i="18" s="1"/>
  <c r="K43" i="18" s="1"/>
  <c r="L43" i="18" s="1"/>
  <c r="M43" i="18" s="1"/>
  <c r="B42" i="18"/>
  <c r="B48" i="18"/>
  <c r="B54" i="18"/>
  <c r="B55" i="18"/>
  <c r="B60" i="18"/>
  <c r="B61" i="18"/>
  <c r="D61" i="18" s="1"/>
  <c r="E61" i="18" s="1"/>
  <c r="F61" i="18" s="1"/>
  <c r="G61" i="18" s="1"/>
  <c r="H61" i="18" s="1"/>
  <c r="I61" i="18" s="1"/>
  <c r="J61" i="18" s="1"/>
  <c r="K61" i="18" s="1"/>
  <c r="L61" i="18" s="1"/>
  <c r="M61" i="18" s="1"/>
  <c r="B21" i="18"/>
  <c r="D21" i="18" s="1"/>
  <c r="E21" i="18" s="1"/>
  <c r="F21" i="18" s="1"/>
  <c r="G21" i="18" s="1"/>
  <c r="H21" i="18" s="1"/>
  <c r="I21" i="18" s="1"/>
  <c r="J21" i="18" s="1"/>
  <c r="K21" i="18" s="1"/>
  <c r="L21" i="18" s="1"/>
  <c r="M21" i="18" s="1"/>
  <c r="B28" i="18"/>
  <c r="D28" i="18" s="1"/>
  <c r="E28" i="18" s="1"/>
  <c r="F28" i="18" s="1"/>
  <c r="G28" i="18" s="1"/>
  <c r="H28" i="18" s="1"/>
  <c r="I28" i="18" s="1"/>
  <c r="J28" i="18" s="1"/>
  <c r="K28" i="18" s="1"/>
  <c r="L28" i="18" s="1"/>
  <c r="M28" i="18" s="1"/>
  <c r="B35" i="18"/>
  <c r="D35" i="18" s="1"/>
  <c r="E35" i="18" s="1"/>
  <c r="F35" i="18" s="1"/>
  <c r="G35" i="18" s="1"/>
  <c r="H35" i="18" s="1"/>
  <c r="I35" i="18" s="1"/>
  <c r="J35" i="18" s="1"/>
  <c r="K35" i="18" s="1"/>
  <c r="L35" i="18" s="1"/>
  <c r="M35" i="18" s="1"/>
  <c r="B34" i="18"/>
  <c r="B31" i="18"/>
  <c r="C31" i="18" s="1"/>
  <c r="D31" i="18" s="1"/>
  <c r="E31" i="18" s="1"/>
  <c r="F31" i="18" s="1"/>
  <c r="G31" i="18" s="1"/>
  <c r="H31" i="18" s="1"/>
  <c r="I31" i="18" s="1"/>
  <c r="J31" i="18" s="1"/>
  <c r="K31" i="18" s="1"/>
  <c r="B24" i="18"/>
  <c r="C24" i="18" s="1"/>
  <c r="D24" i="18" s="1"/>
  <c r="E24" i="18" s="1"/>
  <c r="K63" i="18"/>
  <c r="L63" i="18"/>
  <c r="M63" i="18"/>
  <c r="J63" i="18"/>
  <c r="H63" i="18"/>
  <c r="G63" i="18"/>
  <c r="E63" i="18"/>
  <c r="D63" i="18"/>
  <c r="K57" i="18"/>
  <c r="L57" i="18"/>
  <c r="M57" i="18"/>
  <c r="J57" i="18"/>
  <c r="H57" i="18"/>
  <c r="G57" i="18"/>
  <c r="E45" i="18"/>
  <c r="F45" i="18"/>
  <c r="E57" i="18"/>
  <c r="D57" i="18"/>
  <c r="K51" i="18"/>
  <c r="L51" i="18"/>
  <c r="M51" i="18"/>
  <c r="J51" i="18"/>
  <c r="H51" i="18"/>
  <c r="G51" i="18"/>
  <c r="E51" i="18"/>
  <c r="D51" i="18"/>
  <c r="K45" i="18"/>
  <c r="L45" i="18"/>
  <c r="M45" i="18"/>
  <c r="J45" i="18"/>
  <c r="H45" i="18"/>
  <c r="G45" i="18"/>
  <c r="D45" i="18"/>
  <c r="K37" i="18"/>
  <c r="L37" i="18"/>
  <c r="L95" i="18" s="1"/>
  <c r="M37" i="18"/>
  <c r="J37" i="18"/>
  <c r="H37" i="18"/>
  <c r="G37" i="18"/>
  <c r="G95" i="18" s="1"/>
  <c r="E37" i="18"/>
  <c r="D37" i="18"/>
  <c r="D95" i="18" s="1"/>
  <c r="K30" i="18"/>
  <c r="L30" i="18"/>
  <c r="M30" i="18"/>
  <c r="J30" i="18"/>
  <c r="H30" i="18"/>
  <c r="G30" i="18"/>
  <c r="G87" i="18" s="1"/>
  <c r="E30" i="18"/>
  <c r="D30" i="18"/>
  <c r="D94" i="18" s="1"/>
  <c r="B27" i="18"/>
  <c r="B20" i="18"/>
  <c r="K23" i="18"/>
  <c r="L23" i="18"/>
  <c r="M23" i="18"/>
  <c r="M93" i="18" s="1"/>
  <c r="J23" i="18"/>
  <c r="J93" i="18" s="1"/>
  <c r="H23" i="18"/>
  <c r="G23" i="18"/>
  <c r="E23" i="18"/>
  <c r="D23" i="18"/>
  <c r="B53" i="18"/>
  <c r="C53" i="18" s="1"/>
  <c r="D53" i="18" s="1"/>
  <c r="E53" i="18" s="1"/>
  <c r="F53" i="18" s="1"/>
  <c r="G53" i="18" s="1"/>
  <c r="H53" i="18" s="1"/>
  <c r="I53" i="18" s="1"/>
  <c r="J53" i="18" s="1"/>
  <c r="K53" i="18" s="1"/>
  <c r="L53" i="18" s="1"/>
  <c r="M53" i="18" s="1"/>
  <c r="B47" i="18"/>
  <c r="C47" i="18" s="1"/>
  <c r="D47" i="18" s="1"/>
  <c r="E47" i="18" s="1"/>
  <c r="F47" i="18" s="1"/>
  <c r="G47" i="18" s="1"/>
  <c r="H47" i="18" s="1"/>
  <c r="I47" i="18" s="1"/>
  <c r="J47" i="18" s="1"/>
  <c r="K47" i="18" s="1"/>
  <c r="L47" i="18" s="1"/>
  <c r="M47" i="18" s="1"/>
  <c r="C41" i="18"/>
  <c r="D41" i="18" s="1"/>
  <c r="E41" i="18" s="1"/>
  <c r="F41" i="18" s="1"/>
  <c r="G41" i="18" s="1"/>
  <c r="H41" i="18" s="1"/>
  <c r="I41" i="18" s="1"/>
  <c r="J41" i="18" s="1"/>
  <c r="K41" i="18" s="1"/>
  <c r="L41" i="18" s="1"/>
  <c r="M41" i="18" s="1"/>
  <c r="B19" i="18"/>
  <c r="C19" i="18" s="1"/>
  <c r="D19" i="18" s="1"/>
  <c r="E19" i="18" s="1"/>
  <c r="F19" i="18" s="1"/>
  <c r="G19" i="18" s="1"/>
  <c r="H19" i="18" s="1"/>
  <c r="I19" i="18" s="1"/>
  <c r="J19" i="18" s="1"/>
  <c r="K19" i="18" s="1"/>
  <c r="L19" i="18" s="1"/>
  <c r="M19" i="18" s="1"/>
  <c r="B69" i="18"/>
  <c r="B68" i="18"/>
  <c r="C65" i="18"/>
  <c r="I62" i="18"/>
  <c r="I63" i="18" s="1"/>
  <c r="F62" i="18"/>
  <c r="F60" i="18" s="1"/>
  <c r="I56" i="18"/>
  <c r="I57" i="18" s="1"/>
  <c r="F56" i="18"/>
  <c r="F54" i="18" s="1"/>
  <c r="D55" i="18"/>
  <c r="E55" i="18" s="1"/>
  <c r="F55" i="18" s="1"/>
  <c r="G55" i="18" s="1"/>
  <c r="H55" i="18" s="1"/>
  <c r="I55" i="18" s="1"/>
  <c r="J55" i="18" s="1"/>
  <c r="K55" i="18" s="1"/>
  <c r="L55" i="18" s="1"/>
  <c r="M55" i="18" s="1"/>
  <c r="I50" i="18"/>
  <c r="I48" i="18" s="1"/>
  <c r="F50" i="18"/>
  <c r="F48" i="18" s="1"/>
  <c r="I44" i="18"/>
  <c r="I42" i="18" s="1"/>
  <c r="F44" i="18"/>
  <c r="F42" i="18" s="1"/>
  <c r="I36" i="18"/>
  <c r="I37" i="18" s="1"/>
  <c r="F36" i="18"/>
  <c r="F34" i="18" s="1"/>
  <c r="I29" i="18"/>
  <c r="I27" i="18" s="1"/>
  <c r="F29" i="18"/>
  <c r="F27" i="18" s="1"/>
  <c r="I22" i="18"/>
  <c r="I20" i="18" s="1"/>
  <c r="F22" i="18"/>
  <c r="F20" i="18" s="1"/>
  <c r="C38" i="18"/>
  <c r="D38" i="18" s="1"/>
  <c r="E38" i="18" s="1"/>
  <c r="F38" i="18" s="1"/>
  <c r="G38" i="18" s="1"/>
  <c r="H38" i="18" s="1"/>
  <c r="I38" i="18" s="1"/>
  <c r="J38" i="18" s="1"/>
  <c r="K38" i="18" s="1"/>
  <c r="L38" i="18" s="1"/>
  <c r="M38" i="18" s="1"/>
  <c r="B17" i="18"/>
  <c r="C17" i="18" s="1"/>
  <c r="D17" i="18" s="1"/>
  <c r="E17" i="18" s="1"/>
  <c r="F17" i="18" s="1"/>
  <c r="G17" i="18" s="1"/>
  <c r="H17" i="18" s="1"/>
  <c r="I17" i="18" s="1"/>
  <c r="J17" i="18" s="1"/>
  <c r="K17" i="18" s="1"/>
  <c r="L17" i="18" s="1"/>
  <c r="M17" i="18" s="1"/>
  <c r="K16" i="18"/>
  <c r="L16" i="18"/>
  <c r="M16" i="18"/>
  <c r="J16" i="18"/>
  <c r="J92" i="18" s="1"/>
  <c r="H16" i="18"/>
  <c r="G16" i="18"/>
  <c r="E16" i="18"/>
  <c r="E92" i="18" s="1"/>
  <c r="D16" i="18"/>
  <c r="I15" i="18"/>
  <c r="I16" i="18" s="1"/>
  <c r="F15" i="18"/>
  <c r="F16" i="18" s="1"/>
  <c r="B14" i="18"/>
  <c r="D14" i="18" s="1"/>
  <c r="E14" i="18" s="1"/>
  <c r="F14" i="18" s="1"/>
  <c r="G14" i="18" s="1"/>
  <c r="H14" i="18" s="1"/>
  <c r="I14" i="18" s="1"/>
  <c r="J14" i="18" s="1"/>
  <c r="K14" i="18" s="1"/>
  <c r="L14" i="18" s="1"/>
  <c r="M14" i="18" s="1"/>
  <c r="B13" i="18"/>
  <c r="B9" i="18"/>
  <c r="B8" i="18"/>
  <c r="E5" i="18"/>
  <c r="F5" i="18" s="1"/>
  <c r="G5" i="18" s="1"/>
  <c r="H5" i="18" s="1"/>
  <c r="I5" i="18" s="1"/>
  <c r="J5" i="18" s="1"/>
  <c r="K5" i="18" s="1"/>
  <c r="L5" i="18" s="1"/>
  <c r="M5" i="18" s="1"/>
  <c r="B10" i="22"/>
  <c r="C10" i="22" s="1"/>
  <c r="D10" i="22" s="1"/>
  <c r="E10" i="22" s="1"/>
  <c r="F10" i="22" s="1"/>
  <c r="G10" i="22" s="1"/>
  <c r="H10" i="22" s="1"/>
  <c r="I10" i="22" s="1"/>
  <c r="J10" i="22" s="1"/>
  <c r="K10" i="22" s="1"/>
  <c r="L10" i="22" s="1"/>
  <c r="M10" i="22" s="1"/>
  <c r="C39" i="22"/>
  <c r="B36" i="22"/>
  <c r="K8" i="22"/>
  <c r="L8" i="22"/>
  <c r="M65" i="28" s="1"/>
  <c r="J8" i="22"/>
  <c r="K65" i="28" s="1"/>
  <c r="H8" i="22"/>
  <c r="I65" i="28" s="1"/>
  <c r="G8" i="22"/>
  <c r="H65" i="28" s="1"/>
  <c r="E8" i="22"/>
  <c r="F65" i="28" s="1"/>
  <c r="D8" i="22"/>
  <c r="B25" i="22"/>
  <c r="J29" i="22"/>
  <c r="K29" i="22" s="1"/>
  <c r="L29" i="22" s="1"/>
  <c r="G29" i="22"/>
  <c r="H29" i="22" s="1"/>
  <c r="D29" i="22"/>
  <c r="E29" i="22" s="1"/>
  <c r="M28" i="22"/>
  <c r="M8" i="22" s="1"/>
  <c r="N65" i="28" s="1"/>
  <c r="I28" i="22"/>
  <c r="I8" i="22" s="1"/>
  <c r="F28" i="22"/>
  <c r="F8" i="22" s="1"/>
  <c r="G65" i="28" s="1"/>
  <c r="B22" i="22"/>
  <c r="B13" i="22"/>
  <c r="C13" i="22" s="1"/>
  <c r="D13" i="22" s="1"/>
  <c r="E13" i="22" s="1"/>
  <c r="F13" i="22" s="1"/>
  <c r="G13" i="22" s="1"/>
  <c r="H13" i="22" s="1"/>
  <c r="I13" i="22" s="1"/>
  <c r="J13" i="22" s="1"/>
  <c r="K13" i="22" s="1"/>
  <c r="L13" i="22" s="1"/>
  <c r="M13" i="22" s="1"/>
  <c r="B11" i="22"/>
  <c r="C11" i="22" s="1"/>
  <c r="D11" i="22" s="1"/>
  <c r="E11" i="22" s="1"/>
  <c r="F11" i="22" s="1"/>
  <c r="G11" i="22" s="1"/>
  <c r="H11" i="22" s="1"/>
  <c r="I11" i="22" s="1"/>
  <c r="J11" i="22" s="1"/>
  <c r="K11" i="22" s="1"/>
  <c r="L11" i="22" s="1"/>
  <c r="M11" i="22" s="1"/>
  <c r="B9" i="22"/>
  <c r="C9" i="22" s="1"/>
  <c r="D9" i="22" s="1"/>
  <c r="E9" i="22" s="1"/>
  <c r="F9" i="22" s="1"/>
  <c r="G9" i="22" s="1"/>
  <c r="H9" i="22" s="1"/>
  <c r="I9" i="22" s="1"/>
  <c r="J9" i="22" s="1"/>
  <c r="K9" i="22" s="1"/>
  <c r="L9" i="22" s="1"/>
  <c r="M9" i="22" s="1"/>
  <c r="B8" i="22"/>
  <c r="E5" i="37"/>
  <c r="F5" i="37" s="1"/>
  <c r="G5" i="37" s="1"/>
  <c r="H5" i="37" s="1"/>
  <c r="I5" i="37" s="1"/>
  <c r="J5" i="37" s="1"/>
  <c r="K5" i="37" s="1"/>
  <c r="L5" i="37" s="1"/>
  <c r="M5" i="37" s="1"/>
  <c r="C117" i="36"/>
  <c r="E117" i="36" s="1"/>
  <c r="E116" i="36"/>
  <c r="E115" i="36"/>
  <c r="E114" i="36"/>
  <c r="E113" i="36"/>
  <c r="E112" i="36"/>
  <c r="E111" i="36"/>
  <c r="E110" i="36"/>
  <c r="E109" i="36"/>
  <c r="E105" i="36"/>
  <c r="C105" i="36"/>
  <c r="E104" i="36"/>
  <c r="E103" i="36"/>
  <c r="E102" i="36"/>
  <c r="E101" i="36"/>
  <c r="E100" i="36"/>
  <c r="E99" i="36"/>
  <c r="E98" i="36"/>
  <c r="E97" i="36"/>
  <c r="E92" i="36"/>
  <c r="E91" i="36"/>
  <c r="E90" i="36"/>
  <c r="E89" i="36"/>
  <c r="E88" i="36"/>
  <c r="E87" i="36"/>
  <c r="E82" i="36"/>
  <c r="E81" i="36"/>
  <c r="E80" i="36"/>
  <c r="E79" i="36"/>
  <c r="E75" i="36"/>
  <c r="E74" i="36"/>
  <c r="E73" i="36"/>
  <c r="E72" i="36"/>
  <c r="E71" i="36"/>
  <c r="C66" i="36"/>
  <c r="E65" i="36"/>
  <c r="E64" i="36"/>
  <c r="E63" i="36"/>
  <c r="E62" i="36"/>
  <c r="E61" i="36"/>
  <c r="E56" i="36"/>
  <c r="E55" i="36"/>
  <c r="E54" i="36"/>
  <c r="E53" i="36"/>
  <c r="E52" i="36"/>
  <c r="C47" i="36"/>
  <c r="E45" i="36"/>
  <c r="E44" i="36"/>
  <c r="E43" i="36"/>
  <c r="E42" i="36"/>
  <c r="E38" i="36"/>
  <c r="E37" i="36"/>
  <c r="E36" i="36"/>
  <c r="E35" i="36"/>
  <c r="E34" i="36"/>
  <c r="E30" i="36"/>
  <c r="E29" i="36"/>
  <c r="E28" i="36"/>
  <c r="E27" i="36"/>
  <c r="E26" i="36"/>
  <c r="E21" i="36"/>
  <c r="E20" i="36"/>
  <c r="E19" i="36"/>
  <c r="E18" i="36"/>
  <c r="E17" i="36"/>
  <c r="E16" i="36"/>
  <c r="B74" i="20"/>
  <c r="B72" i="20"/>
  <c r="B62" i="20"/>
  <c r="C62" i="20" s="1"/>
  <c r="D62" i="20" s="1"/>
  <c r="E62" i="20" s="1"/>
  <c r="F62" i="20" s="1"/>
  <c r="G62" i="20" s="1"/>
  <c r="H62" i="20" s="1"/>
  <c r="I62" i="20" s="1"/>
  <c r="J62" i="20" s="1"/>
  <c r="K62" i="20" s="1"/>
  <c r="L62" i="20" s="1"/>
  <c r="M62" i="20" s="1"/>
  <c r="B88" i="20"/>
  <c r="B87" i="20"/>
  <c r="B86" i="20"/>
  <c r="B73" i="20"/>
  <c r="B71" i="20"/>
  <c r="K60" i="20"/>
  <c r="L60" i="20"/>
  <c r="M60" i="20"/>
  <c r="J60" i="20"/>
  <c r="H60" i="20"/>
  <c r="G60" i="20"/>
  <c r="E60" i="20"/>
  <c r="D60" i="20"/>
  <c r="B65" i="20"/>
  <c r="B64" i="20"/>
  <c r="C64" i="20" s="1"/>
  <c r="D64" i="20" s="1"/>
  <c r="E64" i="20" s="1"/>
  <c r="F64" i="20" s="1"/>
  <c r="G64" i="20" s="1"/>
  <c r="H64" i="20" s="1"/>
  <c r="I64" i="20" s="1"/>
  <c r="J64" i="20" s="1"/>
  <c r="K64" i="20" s="1"/>
  <c r="L64" i="20" s="1"/>
  <c r="M64" i="20" s="1"/>
  <c r="C63" i="20"/>
  <c r="D63" i="20" s="1"/>
  <c r="J79" i="20"/>
  <c r="K79" i="20" s="1"/>
  <c r="L79" i="20" s="1"/>
  <c r="M79" i="20" s="1"/>
  <c r="G79" i="20"/>
  <c r="H79" i="20" s="1"/>
  <c r="D79" i="20"/>
  <c r="E79" i="20" s="1"/>
  <c r="F79" i="20" s="1"/>
  <c r="I78" i="20"/>
  <c r="I60" i="20" s="1"/>
  <c r="F78" i="20"/>
  <c r="F60" i="20" s="1"/>
  <c r="C60" i="20"/>
  <c r="B60" i="20"/>
  <c r="E57" i="20"/>
  <c r="F57" i="20" s="1"/>
  <c r="G57" i="20" s="1"/>
  <c r="H57" i="20" s="1"/>
  <c r="I57" i="20" s="1"/>
  <c r="J57" i="20" s="1"/>
  <c r="K57" i="20" s="1"/>
  <c r="L57" i="20" s="1"/>
  <c r="M57" i="20" s="1"/>
  <c r="B10" i="20"/>
  <c r="C10" i="20" s="1"/>
  <c r="D10" i="20" s="1"/>
  <c r="B35" i="20"/>
  <c r="B21" i="20"/>
  <c r="B9" i="20"/>
  <c r="C9" i="20" s="1"/>
  <c r="D9" i="20" s="1"/>
  <c r="E9" i="20" s="1"/>
  <c r="F9" i="20" s="1"/>
  <c r="G9" i="20" s="1"/>
  <c r="H9" i="20" s="1"/>
  <c r="I9" i="20" s="1"/>
  <c r="J9" i="20" s="1"/>
  <c r="K9" i="20" s="1"/>
  <c r="L9" i="20" s="1"/>
  <c r="M9" i="20" s="1"/>
  <c r="B36" i="20"/>
  <c r="B23" i="20"/>
  <c r="J28" i="20"/>
  <c r="K28" i="20" s="1"/>
  <c r="L28" i="20" s="1"/>
  <c r="M28" i="20" s="1"/>
  <c r="G28" i="20"/>
  <c r="H28" i="20" s="1"/>
  <c r="D28" i="20"/>
  <c r="E28" i="20" s="1"/>
  <c r="F28" i="20" s="1"/>
  <c r="I27" i="20"/>
  <c r="I8" i="20" s="1"/>
  <c r="F27" i="20"/>
  <c r="H8" i="20"/>
  <c r="B22" i="20"/>
  <c r="B37" i="20"/>
  <c r="B36" i="26"/>
  <c r="B21" i="26"/>
  <c r="B20" i="26"/>
  <c r="B21" i="14"/>
  <c r="B20" i="14"/>
  <c r="B20" i="20"/>
  <c r="B19" i="20"/>
  <c r="B12" i="20"/>
  <c r="C12" i="20" s="1"/>
  <c r="D12" i="20" s="1"/>
  <c r="E12" i="20" s="1"/>
  <c r="F12" i="20" s="1"/>
  <c r="G12" i="20" s="1"/>
  <c r="H12" i="20" s="1"/>
  <c r="I12" i="20" s="1"/>
  <c r="J12" i="20" s="1"/>
  <c r="K12" i="20" s="1"/>
  <c r="L12" i="20" s="1"/>
  <c r="M12" i="20" s="1"/>
  <c r="B13" i="20"/>
  <c r="D8" i="20"/>
  <c r="E64" i="28" s="1"/>
  <c r="E8" i="20"/>
  <c r="F64" i="28" s="1"/>
  <c r="F8" i="20"/>
  <c r="G8" i="20"/>
  <c r="H64" i="28" s="1"/>
  <c r="J8" i="20"/>
  <c r="K8" i="20"/>
  <c r="L64" i="28" s="1"/>
  <c r="L8" i="20"/>
  <c r="M8" i="20"/>
  <c r="N64" i="28" s="1"/>
  <c r="C8" i="20"/>
  <c r="B11" i="20"/>
  <c r="C11" i="20" s="1"/>
  <c r="D11" i="20" s="1"/>
  <c r="E11" i="20" s="1"/>
  <c r="F11" i="20" s="1"/>
  <c r="G11" i="20" s="1"/>
  <c r="H11" i="20" s="1"/>
  <c r="I11" i="20" s="1"/>
  <c r="J11" i="20" s="1"/>
  <c r="K11" i="20" s="1"/>
  <c r="L11" i="20" s="1"/>
  <c r="M11" i="20" s="1"/>
  <c r="B8" i="20"/>
  <c r="C143" i="20"/>
  <c r="K8" i="26"/>
  <c r="L63" i="28" s="1"/>
  <c r="L8" i="26"/>
  <c r="M63" i="28" s="1"/>
  <c r="M8" i="26"/>
  <c r="N63" i="28" s="1"/>
  <c r="J8" i="26"/>
  <c r="H8" i="26"/>
  <c r="I63" i="28" s="1"/>
  <c r="G8" i="26"/>
  <c r="E8" i="26"/>
  <c r="D8" i="26"/>
  <c r="E63" i="28" s="1"/>
  <c r="B35" i="26"/>
  <c r="J26" i="26"/>
  <c r="K26" i="26" s="1"/>
  <c r="L26" i="26" s="1"/>
  <c r="M26" i="26" s="1"/>
  <c r="G26" i="26"/>
  <c r="H26" i="26" s="1"/>
  <c r="D26" i="26"/>
  <c r="E26" i="26" s="1"/>
  <c r="I25" i="26"/>
  <c r="I8" i="26" s="1"/>
  <c r="J63" i="28" s="1"/>
  <c r="F25" i="26"/>
  <c r="F8" i="26" s="1"/>
  <c r="G63" i="28" s="1"/>
  <c r="B15" i="26"/>
  <c r="C15" i="26" s="1"/>
  <c r="D15" i="26" s="1"/>
  <c r="E15" i="26" s="1"/>
  <c r="F15" i="26" s="1"/>
  <c r="G15" i="26" s="1"/>
  <c r="H15" i="26" s="1"/>
  <c r="I15" i="26" s="1"/>
  <c r="J15" i="26" s="1"/>
  <c r="K15" i="26" s="1"/>
  <c r="L15" i="26" s="1"/>
  <c r="M15" i="26" s="1"/>
  <c r="B9" i="19"/>
  <c r="B8" i="26"/>
  <c r="B14" i="26"/>
  <c r="C14" i="26" s="1"/>
  <c r="D14" i="26" s="1"/>
  <c r="E14" i="26" s="1"/>
  <c r="F14" i="26" s="1"/>
  <c r="G14" i="26" s="1"/>
  <c r="H14" i="26" s="1"/>
  <c r="I14" i="26" s="1"/>
  <c r="J14" i="26" s="1"/>
  <c r="K14" i="26" s="1"/>
  <c r="L14" i="26" s="1"/>
  <c r="M14" i="26" s="1"/>
  <c r="C9" i="26"/>
  <c r="D9" i="26" s="1"/>
  <c r="E9" i="26" s="1"/>
  <c r="F9" i="26" s="1"/>
  <c r="G9" i="26" s="1"/>
  <c r="H9" i="26" s="1"/>
  <c r="I9" i="26" s="1"/>
  <c r="J9" i="26" s="1"/>
  <c r="K9" i="26" s="1"/>
  <c r="L9" i="26" s="1"/>
  <c r="M9" i="26" s="1"/>
  <c r="B11" i="26"/>
  <c r="C63" i="26"/>
  <c r="J55" i="28" s="1"/>
  <c r="E63" i="26"/>
  <c r="B63" i="26"/>
  <c r="E55" i="28" s="1"/>
  <c r="E5" i="26"/>
  <c r="F5" i="26" s="1"/>
  <c r="G5" i="26" s="1"/>
  <c r="H5" i="26" s="1"/>
  <c r="I5" i="26" s="1"/>
  <c r="J5" i="26" s="1"/>
  <c r="K5" i="26" s="1"/>
  <c r="L5" i="26" s="1"/>
  <c r="M5" i="26" s="1"/>
  <c r="B26" i="19"/>
  <c r="B21" i="19"/>
  <c r="B19" i="19"/>
  <c r="K8" i="19"/>
  <c r="K12" i="19" s="1"/>
  <c r="L8" i="19"/>
  <c r="M8" i="19"/>
  <c r="J8" i="19"/>
  <c r="H8" i="19"/>
  <c r="G8" i="19"/>
  <c r="E8" i="19"/>
  <c r="D8" i="19"/>
  <c r="K9" i="19"/>
  <c r="K15" i="19" s="1"/>
  <c r="L9" i="19"/>
  <c r="M9" i="19"/>
  <c r="J9" i="19"/>
  <c r="K62" i="28" s="1"/>
  <c r="H9" i="19"/>
  <c r="G9" i="19"/>
  <c r="E9" i="19"/>
  <c r="E15" i="19" s="1"/>
  <c r="D9" i="19"/>
  <c r="E62" i="28" s="1"/>
  <c r="C16" i="19"/>
  <c r="D16" i="19" s="1"/>
  <c r="E16" i="19" s="1"/>
  <c r="F16" i="19" s="1"/>
  <c r="G16" i="19" s="1"/>
  <c r="H16" i="19" s="1"/>
  <c r="I16" i="19" s="1"/>
  <c r="J16" i="19" s="1"/>
  <c r="K16" i="19" s="1"/>
  <c r="L16" i="19" s="1"/>
  <c r="M16" i="19" s="1"/>
  <c r="C32" i="19"/>
  <c r="C31" i="19"/>
  <c r="M25" i="19"/>
  <c r="J25" i="19"/>
  <c r="K25" i="19" s="1"/>
  <c r="L25" i="19" s="1"/>
  <c r="G25" i="19"/>
  <c r="H25" i="19" s="1"/>
  <c r="D25" i="19"/>
  <c r="E25" i="19" s="1"/>
  <c r="F25" i="19" s="1"/>
  <c r="I24" i="19"/>
  <c r="I9" i="19" s="1"/>
  <c r="J62" i="28" s="1"/>
  <c r="F24" i="19"/>
  <c r="F9" i="19" s="1"/>
  <c r="G62" i="28" s="1"/>
  <c r="M11" i="19"/>
  <c r="I11" i="19"/>
  <c r="F11" i="19"/>
  <c r="B15" i="19"/>
  <c r="E5" i="19"/>
  <c r="F5" i="19" s="1"/>
  <c r="G5" i="19" s="1"/>
  <c r="H5" i="19" s="1"/>
  <c r="I5" i="19" s="1"/>
  <c r="J5" i="19" s="1"/>
  <c r="K5" i="19" s="1"/>
  <c r="L5" i="19" s="1"/>
  <c r="M5" i="19" s="1"/>
  <c r="C61" i="19"/>
  <c r="I54" i="28" s="1"/>
  <c r="D61" i="19"/>
  <c r="K54" i="28" s="1"/>
  <c r="B61" i="19"/>
  <c r="F54" i="28" s="1"/>
  <c r="E67" i="19"/>
  <c r="B20" i="19" s="1"/>
  <c r="C10" i="19"/>
  <c r="D10" i="19" s="1"/>
  <c r="E65" i="19"/>
  <c r="E63" i="19"/>
  <c r="E62" i="19"/>
  <c r="B14" i="19" s="1"/>
  <c r="E60" i="19"/>
  <c r="E59" i="19"/>
  <c r="E58" i="19"/>
  <c r="E57" i="19"/>
  <c r="B34" i="14"/>
  <c r="B35" i="14"/>
  <c r="B31" i="14"/>
  <c r="B15" i="14"/>
  <c r="C15" i="14" s="1"/>
  <c r="D15" i="14" s="1"/>
  <c r="K8" i="14"/>
  <c r="L61" i="28" s="1"/>
  <c r="L8" i="14"/>
  <c r="M61" i="28" s="1"/>
  <c r="J8" i="14"/>
  <c r="K61" i="28" s="1"/>
  <c r="H8" i="14"/>
  <c r="I61" i="28" s="1"/>
  <c r="G8" i="14"/>
  <c r="H61" i="28" s="1"/>
  <c r="E8" i="14"/>
  <c r="F61" i="28" s="1"/>
  <c r="D8" i="14"/>
  <c r="E61" i="28" s="1"/>
  <c r="J25" i="14"/>
  <c r="K25" i="14" s="1"/>
  <c r="L25" i="14" s="1"/>
  <c r="G25" i="14"/>
  <c r="H25" i="14" s="1"/>
  <c r="E25" i="14"/>
  <c r="M24" i="14"/>
  <c r="M8" i="14" s="1"/>
  <c r="N61" i="28" s="1"/>
  <c r="I24" i="14"/>
  <c r="I8" i="14" s="1"/>
  <c r="J61" i="28" s="1"/>
  <c r="F24" i="14"/>
  <c r="F8" i="14" s="1"/>
  <c r="G61" i="28" s="1"/>
  <c r="C14" i="14"/>
  <c r="D14" i="14" s="1"/>
  <c r="B11" i="14"/>
  <c r="C9" i="14"/>
  <c r="D9" i="14" s="1"/>
  <c r="E9" i="14" s="1"/>
  <c r="F9" i="14" s="1"/>
  <c r="G9" i="14" s="1"/>
  <c r="H9" i="14" s="1"/>
  <c r="I9" i="14" s="1"/>
  <c r="J9" i="14" s="1"/>
  <c r="K9" i="14" s="1"/>
  <c r="L9" i="14" s="1"/>
  <c r="M9" i="14" s="1"/>
  <c r="B8" i="14"/>
  <c r="E5" i="14"/>
  <c r="F5" i="14" s="1"/>
  <c r="G5" i="14" s="1"/>
  <c r="H5" i="14" s="1"/>
  <c r="I5" i="14" s="1"/>
  <c r="J5" i="14" s="1"/>
  <c r="K5" i="14" s="1"/>
  <c r="L5" i="14" s="1"/>
  <c r="M5" i="14" s="1"/>
  <c r="C36" i="34"/>
  <c r="C31" i="34"/>
  <c r="C66" i="34"/>
  <c r="C64" i="34"/>
  <c r="E17" i="34"/>
  <c r="E15" i="34" s="1"/>
  <c r="C16" i="34"/>
  <c r="E14" i="34"/>
  <c r="E12" i="34" s="1"/>
  <c r="F5" i="34"/>
  <c r="D10" i="15"/>
  <c r="N10" i="15" s="1"/>
  <c r="F5" i="31"/>
  <c r="G5" i="31" s="1"/>
  <c r="H5" i="31" s="1"/>
  <c r="I5" i="31" s="1"/>
  <c r="J5" i="31" s="1"/>
  <c r="K5" i="31" s="1"/>
  <c r="L5" i="31" s="1"/>
  <c r="M5" i="31" s="1"/>
  <c r="N5" i="31" s="1"/>
  <c r="G4" i="15"/>
  <c r="H4" i="15" s="1"/>
  <c r="I4" i="15" s="1"/>
  <c r="J4" i="15" s="1"/>
  <c r="K4" i="15" s="1"/>
  <c r="L4" i="15" s="1"/>
  <c r="M4" i="15" s="1"/>
  <c r="N4" i="15" s="1"/>
  <c r="O4" i="15" s="1"/>
  <c r="E5" i="34"/>
  <c r="E4" i="27"/>
  <c r="F4" i="27" s="1"/>
  <c r="G4" i="27" s="1"/>
  <c r="H4" i="27" s="1"/>
  <c r="I4" i="27" s="1"/>
  <c r="J4" i="27" s="1"/>
  <c r="K4" i="27" s="1"/>
  <c r="L4" i="27" s="1"/>
  <c r="M4" i="27" s="1"/>
  <c r="E4" i="24"/>
  <c r="F4" i="24" s="1"/>
  <c r="G4" i="24" s="1"/>
  <c r="H4" i="24" s="1"/>
  <c r="I4" i="24" s="1"/>
  <c r="J4" i="24" s="1"/>
  <c r="K4" i="24" s="1"/>
  <c r="L4" i="24" s="1"/>
  <c r="M4" i="24" s="1"/>
  <c r="E4" i="23"/>
  <c r="F4" i="23" s="1"/>
  <c r="G4" i="23" s="1"/>
  <c r="H4" i="23" s="1"/>
  <c r="I4" i="23" s="1"/>
  <c r="J4" i="23" s="1"/>
  <c r="K4" i="23" s="1"/>
  <c r="L4" i="23" s="1"/>
  <c r="M4" i="23" s="1"/>
  <c r="E5" i="22"/>
  <c r="F5" i="22" s="1"/>
  <c r="G5" i="22" s="1"/>
  <c r="H5" i="22" s="1"/>
  <c r="I5" i="22" s="1"/>
  <c r="J5" i="22" s="1"/>
  <c r="K5" i="22" s="1"/>
  <c r="L5" i="22" s="1"/>
  <c r="M5" i="22" s="1"/>
  <c r="E5" i="20"/>
  <c r="F5" i="20" s="1"/>
  <c r="G5" i="20" s="1"/>
  <c r="H5" i="20" s="1"/>
  <c r="I5" i="20" s="1"/>
  <c r="J5" i="20" s="1"/>
  <c r="K5" i="20" s="1"/>
  <c r="L5" i="20" s="1"/>
  <c r="M5" i="20" s="1"/>
  <c r="E419" i="40" l="1"/>
  <c r="E420" i="40" s="1"/>
  <c r="C9" i="41"/>
  <c r="E522" i="40"/>
  <c r="E523" i="40" s="1"/>
  <c r="C28" i="41"/>
  <c r="C29" i="41"/>
  <c r="T9" i="41"/>
  <c r="T10" i="41" s="1"/>
  <c r="D541" i="40"/>
  <c r="D544" i="40" s="1"/>
  <c r="D545" i="40" s="1"/>
  <c r="C30" i="41"/>
  <c r="N53" i="28"/>
  <c r="G27" i="26"/>
  <c r="G28" i="26" s="1"/>
  <c r="G30" i="26" s="1"/>
  <c r="G37" i="26" s="1"/>
  <c r="H75" i="34" s="1"/>
  <c r="H76" i="34" s="1"/>
  <c r="H78" i="34" s="1"/>
  <c r="H79" i="34" s="1"/>
  <c r="H80" i="34" s="1"/>
  <c r="H81" i="34" s="1"/>
  <c r="I55" i="28"/>
  <c r="E452" i="40"/>
  <c r="E455" i="40" s="1"/>
  <c r="E456" i="40" s="1"/>
  <c r="F473" i="40"/>
  <c r="F476" i="40" s="1"/>
  <c r="R26" i="31"/>
  <c r="G13" i="31" s="1"/>
  <c r="H16" i="15" s="1"/>
  <c r="I9" i="31"/>
  <c r="E10" i="19"/>
  <c r="D26" i="19"/>
  <c r="D197" i="40"/>
  <c r="D200" i="40" s="1"/>
  <c r="F186" i="40"/>
  <c r="G186" i="40"/>
  <c r="F348" i="40"/>
  <c r="F349" i="40" s="1"/>
  <c r="D367" i="40"/>
  <c r="D370" i="40" s="1"/>
  <c r="F522" i="40"/>
  <c r="F523" i="40" s="1"/>
  <c r="E329" i="40"/>
  <c r="E541" i="40"/>
  <c r="E544" i="40" s="1"/>
  <c r="E545" i="40" s="1"/>
  <c r="F579" i="40" s="1"/>
  <c r="F581" i="40" s="1"/>
  <c r="H9" i="40"/>
  <c r="I9" i="40" s="1"/>
  <c r="E121" i="40"/>
  <c r="E124" i="40" s="1"/>
  <c r="E125" i="40" s="1"/>
  <c r="D141" i="40" s="1"/>
  <c r="R10" i="31"/>
  <c r="U10" i="31" s="1"/>
  <c r="G53" i="28"/>
  <c r="J53" i="28"/>
  <c r="R11" i="31"/>
  <c r="I8" i="31" s="1"/>
  <c r="J11" i="15" s="1"/>
  <c r="I14" i="31"/>
  <c r="J14" i="15" s="1"/>
  <c r="F197" i="40"/>
  <c r="F200" i="40" s="1"/>
  <c r="E253" i="40"/>
  <c r="F367" i="40"/>
  <c r="F370" i="40" s="1"/>
  <c r="U17" i="31"/>
  <c r="D562" i="40"/>
  <c r="D565" i="40" s="1"/>
  <c r="E273" i="40"/>
  <c r="E276" i="40" s="1"/>
  <c r="F562" i="40"/>
  <c r="F565" i="40" s="1"/>
  <c r="H5" i="40"/>
  <c r="I5" i="40" s="1"/>
  <c r="J5" i="40" s="1"/>
  <c r="D26" i="40"/>
  <c r="D27" i="40" s="1"/>
  <c r="E45" i="40"/>
  <c r="E48" i="40" s="1"/>
  <c r="F273" i="40"/>
  <c r="F276" i="40" s="1"/>
  <c r="F26" i="40"/>
  <c r="F27" i="40" s="1"/>
  <c r="F177" i="40"/>
  <c r="F178" i="40" s="1"/>
  <c r="N67" i="28"/>
  <c r="J67" i="28"/>
  <c r="F67" i="28"/>
  <c r="L30" i="37"/>
  <c r="L31" i="37" s="1"/>
  <c r="L33" i="37" s="1"/>
  <c r="L39" i="37" s="1"/>
  <c r="K30" i="37"/>
  <c r="I67" i="28"/>
  <c r="L14" i="37"/>
  <c r="M59" i="28" s="1"/>
  <c r="J30" i="37"/>
  <c r="J31" i="37" s="1"/>
  <c r="J33" i="37" s="1"/>
  <c r="J39" i="37" s="1"/>
  <c r="H67" i="28"/>
  <c r="I30" i="37"/>
  <c r="G67" i="28"/>
  <c r="H30" i="37"/>
  <c r="G30" i="37"/>
  <c r="D30" i="37"/>
  <c r="D31" i="37" s="1"/>
  <c r="D33" i="37" s="1"/>
  <c r="D39" i="37" s="1"/>
  <c r="F30" i="37"/>
  <c r="E30" i="37"/>
  <c r="E31" i="37" s="1"/>
  <c r="E33" i="37" s="1"/>
  <c r="E39" i="37" s="1"/>
  <c r="K67" i="28"/>
  <c r="E95" i="18"/>
  <c r="K92" i="18"/>
  <c r="H87" i="18"/>
  <c r="D65" i="18"/>
  <c r="D66" i="18" s="1"/>
  <c r="M95" i="18"/>
  <c r="J88" i="18"/>
  <c r="E66" i="28"/>
  <c r="E69" i="28" s="1"/>
  <c r="E58" i="28"/>
  <c r="M79" i="18"/>
  <c r="M80" i="18"/>
  <c r="H95" i="18"/>
  <c r="M81" i="18"/>
  <c r="M30" i="22"/>
  <c r="M64" i="28"/>
  <c r="G64" i="28"/>
  <c r="I64" i="28"/>
  <c r="J64" i="28"/>
  <c r="J56" i="28"/>
  <c r="K64" i="28"/>
  <c r="C65" i="20"/>
  <c r="C66" i="20" s="1"/>
  <c r="H65" i="20"/>
  <c r="E27" i="26"/>
  <c r="E28" i="26" s="1"/>
  <c r="E30" i="26" s="1"/>
  <c r="E37" i="26" s="1"/>
  <c r="G55" i="28"/>
  <c r="H63" i="28"/>
  <c r="J27" i="26"/>
  <c r="J28" i="26" s="1"/>
  <c r="J30" i="26" s="1"/>
  <c r="J37" i="26" s="1"/>
  <c r="F55" i="28"/>
  <c r="H55" i="28"/>
  <c r="F63" i="28"/>
  <c r="L62" i="28"/>
  <c r="J13" i="19"/>
  <c r="J18" i="19" s="1"/>
  <c r="F15" i="19"/>
  <c r="G15" i="19"/>
  <c r="M13" i="19"/>
  <c r="M18" i="19" s="1"/>
  <c r="H15" i="19"/>
  <c r="H54" i="28"/>
  <c r="D15" i="19"/>
  <c r="J15" i="19"/>
  <c r="J54" i="28"/>
  <c r="I62" i="28"/>
  <c r="M12" i="19"/>
  <c r="M15" i="19"/>
  <c r="H62" i="28"/>
  <c r="I15" i="19"/>
  <c r="L15" i="19"/>
  <c r="L12" i="19"/>
  <c r="R12" i="31"/>
  <c r="K8" i="31" s="1"/>
  <c r="L11" i="15" s="1"/>
  <c r="I13" i="31"/>
  <c r="J16" i="15" s="1"/>
  <c r="U24" i="31"/>
  <c r="F10" i="31"/>
  <c r="G15" i="15"/>
  <c r="H9" i="31"/>
  <c r="I13" i="15" s="1"/>
  <c r="H13" i="15"/>
  <c r="L10" i="15"/>
  <c r="O13" i="15"/>
  <c r="G13" i="15"/>
  <c r="G20" i="15"/>
  <c r="I19" i="15"/>
  <c r="Q19" i="15" s="1"/>
  <c r="E94" i="28" s="1"/>
  <c r="K14" i="15"/>
  <c r="J19" i="15"/>
  <c r="G12" i="15"/>
  <c r="K10" i="15"/>
  <c r="N13" i="15"/>
  <c r="I14" i="15"/>
  <c r="H19" i="15"/>
  <c r="M13" i="15"/>
  <c r="F19" i="15"/>
  <c r="G19" i="15"/>
  <c r="M12" i="15"/>
  <c r="O11" i="15"/>
  <c r="G11" i="15"/>
  <c r="I10" i="15"/>
  <c r="L13" i="15"/>
  <c r="O14" i="15"/>
  <c r="G14" i="15"/>
  <c r="N19" i="15"/>
  <c r="H18" i="15"/>
  <c r="J17" i="15"/>
  <c r="H14" i="15"/>
  <c r="N11" i="15"/>
  <c r="H10" i="15"/>
  <c r="K13" i="15"/>
  <c r="N14" i="15"/>
  <c r="H15" i="15"/>
  <c r="M19" i="15"/>
  <c r="G18" i="15"/>
  <c r="K12" i="15"/>
  <c r="O10" i="15"/>
  <c r="G10" i="15"/>
  <c r="J13" i="15"/>
  <c r="I27" i="28" s="1"/>
  <c r="M14" i="15"/>
  <c r="L19" i="15"/>
  <c r="O19" i="15"/>
  <c r="F13" i="15"/>
  <c r="D157" i="40"/>
  <c r="D158" i="40" s="1"/>
  <c r="J6" i="40"/>
  <c r="F252" i="40"/>
  <c r="F253" i="40" s="1"/>
  <c r="D329" i="40"/>
  <c r="F419" i="40"/>
  <c r="F420" i="40" s="1"/>
  <c r="F328" i="40"/>
  <c r="F329" i="40" s="1"/>
  <c r="E562" i="40"/>
  <c r="E565" i="40" s="1"/>
  <c r="H8" i="40"/>
  <c r="I8" i="40" s="1"/>
  <c r="G176" i="40"/>
  <c r="G177" i="40" s="1"/>
  <c r="G178" i="40" s="1"/>
  <c r="D239" i="40"/>
  <c r="G251" i="40"/>
  <c r="G252" i="40" s="1"/>
  <c r="G253" i="40" s="1"/>
  <c r="D348" i="40"/>
  <c r="D349" i="40" s="1"/>
  <c r="D522" i="40"/>
  <c r="D523" i="40" s="1"/>
  <c r="D98" i="40"/>
  <c r="D253" i="40"/>
  <c r="D452" i="40"/>
  <c r="D455" i="40" s="1"/>
  <c r="D456" i="40" s="1"/>
  <c r="G490" i="40" s="1"/>
  <c r="G492" i="40" s="1"/>
  <c r="D473" i="40"/>
  <c r="D476" i="40" s="1"/>
  <c r="H7" i="40"/>
  <c r="I7" i="40" s="1"/>
  <c r="H11" i="40"/>
  <c r="I11" i="40" s="1"/>
  <c r="D177" i="40"/>
  <c r="D178" i="40" s="1"/>
  <c r="E473" i="40"/>
  <c r="E476" i="40" s="1"/>
  <c r="D512" i="40"/>
  <c r="D419" i="40"/>
  <c r="D420" i="40" s="1"/>
  <c r="H10" i="40"/>
  <c r="I10" i="40" s="1"/>
  <c r="H17" i="31"/>
  <c r="I15" i="15" s="1"/>
  <c r="J17" i="31"/>
  <c r="K15" i="15" s="1"/>
  <c r="E14" i="31"/>
  <c r="F14" i="15" s="1"/>
  <c r="G10" i="31"/>
  <c r="H12" i="15" s="1"/>
  <c r="K18" i="31"/>
  <c r="L18" i="15" s="1"/>
  <c r="F12" i="31"/>
  <c r="G17" i="15" s="1"/>
  <c r="J13" i="31"/>
  <c r="K16" i="15" s="1"/>
  <c r="N18" i="31"/>
  <c r="O18" i="15" s="1"/>
  <c r="H12" i="31"/>
  <c r="I17" i="15" s="1"/>
  <c r="L13" i="31"/>
  <c r="M16" i="15" s="1"/>
  <c r="R31" i="31"/>
  <c r="U31" i="31" s="1"/>
  <c r="I16" i="31"/>
  <c r="J20" i="15" s="1"/>
  <c r="M18" i="31"/>
  <c r="N18" i="15" s="1"/>
  <c r="N13" i="31"/>
  <c r="O16" i="15" s="1"/>
  <c r="J16" i="31"/>
  <c r="K20" i="15" s="1"/>
  <c r="K12" i="31"/>
  <c r="L17" i="15" s="1"/>
  <c r="M13" i="31"/>
  <c r="N16" i="15" s="1"/>
  <c r="K16" i="31"/>
  <c r="L20" i="15" s="1"/>
  <c r="U16" i="31"/>
  <c r="F13" i="31"/>
  <c r="G16" i="15" s="1"/>
  <c r="U35" i="31"/>
  <c r="U27" i="31"/>
  <c r="U26" i="31" s="1"/>
  <c r="F10" i="15"/>
  <c r="U23" i="31"/>
  <c r="K10" i="31"/>
  <c r="L12" i="15" s="1"/>
  <c r="N10" i="31"/>
  <c r="O12" i="15" s="1"/>
  <c r="N16" i="31"/>
  <c r="O20" i="15" s="1"/>
  <c r="L18" i="31"/>
  <c r="M18" i="15" s="1"/>
  <c r="H10" i="31"/>
  <c r="I12" i="15" s="1"/>
  <c r="Q12" i="15" s="1"/>
  <c r="E87" i="28" s="1"/>
  <c r="M10" i="31"/>
  <c r="N12" i="15" s="1"/>
  <c r="E16" i="31"/>
  <c r="F20" i="15" s="1"/>
  <c r="M16" i="31"/>
  <c r="N20" i="15" s="1"/>
  <c r="K17" i="31"/>
  <c r="L15" i="15" s="1"/>
  <c r="U37" i="31"/>
  <c r="R30" i="31"/>
  <c r="U30" i="31" s="1"/>
  <c r="J10" i="31"/>
  <c r="L10" i="31"/>
  <c r="G16" i="31"/>
  <c r="H20" i="15" s="1"/>
  <c r="G25" i="28" s="1"/>
  <c r="N17" i="31"/>
  <c r="O15" i="15" s="1"/>
  <c r="T20" i="31"/>
  <c r="U20" i="31" s="1"/>
  <c r="U4" i="31"/>
  <c r="I10" i="31"/>
  <c r="J12" i="15" s="1"/>
  <c r="E17" i="31"/>
  <c r="F15" i="15" s="1"/>
  <c r="M17" i="31"/>
  <c r="N15" i="15" s="1"/>
  <c r="E12" i="31"/>
  <c r="F17" i="15" s="1"/>
  <c r="H16" i="31"/>
  <c r="I20" i="15" s="1"/>
  <c r="U22" i="31"/>
  <c r="T5" i="31"/>
  <c r="T18" i="31"/>
  <c r="U18" i="31" s="1"/>
  <c r="H4" i="36"/>
  <c r="K31" i="37"/>
  <c r="K33" i="37" s="1"/>
  <c r="K39" i="37" s="1"/>
  <c r="K14" i="37"/>
  <c r="L59" i="28" s="1"/>
  <c r="I31" i="37"/>
  <c r="I33" i="37" s="1"/>
  <c r="I39" i="37" s="1"/>
  <c r="H31" i="37"/>
  <c r="H33" i="37" s="1"/>
  <c r="H39" i="37" s="1"/>
  <c r="D14" i="37"/>
  <c r="G31" i="37"/>
  <c r="G33" i="37" s="1"/>
  <c r="G39" i="37" s="1"/>
  <c r="E16" i="37"/>
  <c r="F31" i="37"/>
  <c r="F33" i="37" s="1"/>
  <c r="F39" i="37" s="1"/>
  <c r="M31" i="37"/>
  <c r="M33" i="37" s="1"/>
  <c r="M39" i="37" s="1"/>
  <c r="F29" i="37"/>
  <c r="I29" i="37"/>
  <c r="H76" i="18"/>
  <c r="D74" i="18"/>
  <c r="J74" i="18"/>
  <c r="L74" i="18"/>
  <c r="F80" i="18"/>
  <c r="M88" i="18"/>
  <c r="G76" i="18"/>
  <c r="M74" i="18"/>
  <c r="G85" i="18"/>
  <c r="E82" i="18"/>
  <c r="D93" i="18"/>
  <c r="J94" i="18"/>
  <c r="J95" i="18"/>
  <c r="D88" i="18"/>
  <c r="L88" i="18"/>
  <c r="K74" i="18"/>
  <c r="M75" i="18"/>
  <c r="G94" i="18"/>
  <c r="F63" i="18"/>
  <c r="K88" i="18"/>
  <c r="H85" i="18"/>
  <c r="F23" i="18"/>
  <c r="J85" i="18"/>
  <c r="M76" i="18"/>
  <c r="E93" i="18"/>
  <c r="L94" i="18"/>
  <c r="E88" i="18"/>
  <c r="F85" i="18"/>
  <c r="M85" i="18"/>
  <c r="K94" i="18"/>
  <c r="K95" i="18"/>
  <c r="G88" i="18"/>
  <c r="I60" i="18"/>
  <c r="I82" i="18" s="1"/>
  <c r="E85" i="18"/>
  <c r="H94" i="18"/>
  <c r="L85" i="18"/>
  <c r="F75" i="18"/>
  <c r="F82" i="18"/>
  <c r="I23" i="18"/>
  <c r="D85" i="18"/>
  <c r="F51" i="18"/>
  <c r="H88" i="18"/>
  <c r="D75" i="18"/>
  <c r="H92" i="18"/>
  <c r="I45" i="18"/>
  <c r="I92" i="18" s="1"/>
  <c r="D87" i="18"/>
  <c r="E87" i="18"/>
  <c r="F24" i="18"/>
  <c r="G24" i="18" s="1"/>
  <c r="H24" i="18" s="1"/>
  <c r="E86" i="18"/>
  <c r="I88" i="18"/>
  <c r="I95" i="18"/>
  <c r="E33" i="18"/>
  <c r="D77" i="18"/>
  <c r="L31" i="18"/>
  <c r="K87" i="18"/>
  <c r="F57" i="18"/>
  <c r="K75" i="18"/>
  <c r="E76" i="18"/>
  <c r="I79" i="18"/>
  <c r="K80" i="18"/>
  <c r="E81" i="18"/>
  <c r="D82" i="18"/>
  <c r="D86" i="18"/>
  <c r="K85" i="18"/>
  <c r="G92" i="18"/>
  <c r="M94" i="18"/>
  <c r="E94" i="18"/>
  <c r="L79" i="18"/>
  <c r="H81" i="18"/>
  <c r="G81" i="18"/>
  <c r="D76" i="18"/>
  <c r="I51" i="18"/>
  <c r="H65" i="18"/>
  <c r="I13" i="18"/>
  <c r="I74" i="18" s="1"/>
  <c r="H74" i="18"/>
  <c r="J75" i="18"/>
  <c r="L76" i="18"/>
  <c r="H79" i="18"/>
  <c r="J80" i="18"/>
  <c r="L81" i="18"/>
  <c r="D92" i="18"/>
  <c r="F92" i="18"/>
  <c r="H93" i="18"/>
  <c r="I30" i="18"/>
  <c r="I34" i="18"/>
  <c r="L75" i="18"/>
  <c r="F30" i="18"/>
  <c r="G74" i="18"/>
  <c r="I75" i="18"/>
  <c r="K76" i="18"/>
  <c r="G79" i="18"/>
  <c r="I80" i="18"/>
  <c r="K81" i="18"/>
  <c r="L82" i="18"/>
  <c r="M92" i="18"/>
  <c r="G93" i="18"/>
  <c r="D80" i="18"/>
  <c r="H82" i="18"/>
  <c r="L93" i="18"/>
  <c r="E80" i="18"/>
  <c r="L80" i="18"/>
  <c r="J87" i="18"/>
  <c r="H75" i="18"/>
  <c r="J76" i="18"/>
  <c r="D79" i="18"/>
  <c r="F79" i="18"/>
  <c r="H80" i="18"/>
  <c r="J81" i="18"/>
  <c r="K82" i="18"/>
  <c r="G82" i="18"/>
  <c r="L92" i="18"/>
  <c r="E65" i="18"/>
  <c r="F13" i="18"/>
  <c r="F74" i="18" s="1"/>
  <c r="E75" i="18"/>
  <c r="K79" i="18"/>
  <c r="J82" i="18"/>
  <c r="K93" i="18"/>
  <c r="G65" i="18"/>
  <c r="F76" i="18"/>
  <c r="J79" i="18"/>
  <c r="D81" i="18"/>
  <c r="F81" i="18"/>
  <c r="F37" i="18"/>
  <c r="F95" i="18" s="1"/>
  <c r="E74" i="18"/>
  <c r="G75" i="18"/>
  <c r="I76" i="18"/>
  <c r="E79" i="18"/>
  <c r="G80" i="18"/>
  <c r="I81" i="18"/>
  <c r="M65" i="18"/>
  <c r="L65" i="18"/>
  <c r="K65" i="18"/>
  <c r="J65" i="18"/>
  <c r="F30" i="22"/>
  <c r="F31" i="22" s="1"/>
  <c r="F33" i="22" s="1"/>
  <c r="F39" i="22" s="1"/>
  <c r="G20" i="28" s="1"/>
  <c r="D30" i="22"/>
  <c r="D31" i="22" s="1"/>
  <c r="I30" i="22"/>
  <c r="I31" i="22" s="1"/>
  <c r="I33" i="22" s="1"/>
  <c r="I39" i="22" s="1"/>
  <c r="J20" i="28" s="1"/>
  <c r="M31" i="22"/>
  <c r="M33" i="22" s="1"/>
  <c r="M39" i="22" s="1"/>
  <c r="N20" i="28" s="1"/>
  <c r="G30" i="22"/>
  <c r="G31" i="22" s="1"/>
  <c r="H30" i="22"/>
  <c r="H31" i="22" s="1"/>
  <c r="H33" i="22" s="1"/>
  <c r="H39" i="22" s="1"/>
  <c r="I20" i="28" s="1"/>
  <c r="K30" i="22"/>
  <c r="K31" i="22" s="1"/>
  <c r="K33" i="22" s="1"/>
  <c r="K39" i="22" s="1"/>
  <c r="L20" i="28" s="1"/>
  <c r="L30" i="22"/>
  <c r="L31" i="22" s="1"/>
  <c r="J30" i="22"/>
  <c r="E14" i="22"/>
  <c r="E30" i="22"/>
  <c r="E31" i="22" s="1"/>
  <c r="E33" i="22" s="1"/>
  <c r="E39" i="22" s="1"/>
  <c r="F20" i="28" s="1"/>
  <c r="L14" i="22"/>
  <c r="K14" i="22"/>
  <c r="F29" i="22"/>
  <c r="M29" i="22"/>
  <c r="D14" i="22"/>
  <c r="J14" i="22"/>
  <c r="I14" i="22"/>
  <c r="H14" i="22"/>
  <c r="G14" i="22"/>
  <c r="I29" i="22"/>
  <c r="C14" i="22"/>
  <c r="C15" i="22" s="1"/>
  <c r="F14" i="22"/>
  <c r="M14" i="22"/>
  <c r="D19" i="34"/>
  <c r="J76" i="28" s="1"/>
  <c r="G65" i="20"/>
  <c r="I79" i="20"/>
  <c r="D80" i="20"/>
  <c r="D81" i="20" s="1"/>
  <c r="D83" i="20" s="1"/>
  <c r="D89" i="20" s="1"/>
  <c r="E80" i="20"/>
  <c r="E81" i="20" s="1"/>
  <c r="E63" i="20"/>
  <c r="F80" i="20"/>
  <c r="F65" i="20"/>
  <c r="H61" i="20"/>
  <c r="G80" i="20"/>
  <c r="J65" i="20"/>
  <c r="K65" i="20"/>
  <c r="D65" i="20"/>
  <c r="L65" i="20"/>
  <c r="E65" i="20"/>
  <c r="M65" i="20"/>
  <c r="I29" i="20"/>
  <c r="I30" i="20" s="1"/>
  <c r="I32" i="20" s="1"/>
  <c r="I38" i="20" s="1"/>
  <c r="M29" i="20"/>
  <c r="M30" i="20" s="1"/>
  <c r="M32" i="20" s="1"/>
  <c r="M38" i="20" s="1"/>
  <c r="L29" i="20"/>
  <c r="L30" i="20" s="1"/>
  <c r="L32" i="20" s="1"/>
  <c r="L38" i="20" s="1"/>
  <c r="E29" i="20"/>
  <c r="E30" i="20" s="1"/>
  <c r="E32" i="20" s="1"/>
  <c r="E38" i="20" s="1"/>
  <c r="J29" i="20"/>
  <c r="J30" i="20" s="1"/>
  <c r="J32" i="20" s="1"/>
  <c r="J38" i="20" s="1"/>
  <c r="H29" i="20"/>
  <c r="H30" i="20" s="1"/>
  <c r="H32" i="20" s="1"/>
  <c r="H38" i="20" s="1"/>
  <c r="F29" i="20"/>
  <c r="F30" i="20" s="1"/>
  <c r="G29" i="20"/>
  <c r="G30" i="20" s="1"/>
  <c r="D29" i="20"/>
  <c r="K29" i="20"/>
  <c r="K30" i="20" s="1"/>
  <c r="E10" i="20"/>
  <c r="I28" i="20"/>
  <c r="M27" i="26"/>
  <c r="M28" i="26" s="1"/>
  <c r="M30" i="26" s="1"/>
  <c r="M37" i="26" s="1"/>
  <c r="D27" i="26"/>
  <c r="D28" i="26" s="1"/>
  <c r="D30" i="26" s="1"/>
  <c r="D37" i="26" s="1"/>
  <c r="F27" i="26"/>
  <c r="F28" i="26" s="1"/>
  <c r="F30" i="26" s="1"/>
  <c r="F37" i="26" s="1"/>
  <c r="H27" i="26"/>
  <c r="H28" i="26" s="1"/>
  <c r="H30" i="26" s="1"/>
  <c r="H37" i="26" s="1"/>
  <c r="L27" i="26"/>
  <c r="L28" i="26" s="1"/>
  <c r="L30" i="26" s="1"/>
  <c r="L37" i="26" s="1"/>
  <c r="K27" i="26"/>
  <c r="K28" i="26" s="1"/>
  <c r="K30" i="26" s="1"/>
  <c r="K37" i="26" s="1"/>
  <c r="M26" i="14"/>
  <c r="M27" i="14" s="1"/>
  <c r="M29" i="14" s="1"/>
  <c r="M36" i="14" s="1"/>
  <c r="N15" i="28" s="1"/>
  <c r="H13" i="20"/>
  <c r="J13" i="20"/>
  <c r="D13" i="20"/>
  <c r="K13" i="20"/>
  <c r="I13" i="20"/>
  <c r="G13" i="20"/>
  <c r="C13" i="20"/>
  <c r="C14" i="20" s="1"/>
  <c r="F13" i="20"/>
  <c r="M13" i="20"/>
  <c r="E13" i="20"/>
  <c r="L13" i="20"/>
  <c r="I27" i="26"/>
  <c r="I28" i="26" s="1"/>
  <c r="I30" i="26" s="1"/>
  <c r="I37" i="26" s="1"/>
  <c r="D12" i="26"/>
  <c r="D13" i="26" s="1"/>
  <c r="D19" i="26" s="1"/>
  <c r="I26" i="26"/>
  <c r="F26" i="26"/>
  <c r="K12" i="26"/>
  <c r="J12" i="26"/>
  <c r="I12" i="26"/>
  <c r="H12" i="26"/>
  <c r="G12" i="26"/>
  <c r="C12" i="26"/>
  <c r="F12" i="26"/>
  <c r="M12" i="26"/>
  <c r="E12" i="26"/>
  <c r="L12" i="26"/>
  <c r="I25" i="19"/>
  <c r="I8" i="19"/>
  <c r="G12" i="19" s="1"/>
  <c r="L13" i="19"/>
  <c r="L18" i="19" s="1"/>
  <c r="K13" i="19"/>
  <c r="K18" i="19" s="1"/>
  <c r="D13" i="19"/>
  <c r="D18" i="19" s="1"/>
  <c r="H12" i="19"/>
  <c r="I12" i="19"/>
  <c r="C33" i="19"/>
  <c r="E13" i="19"/>
  <c r="E18" i="19" s="1"/>
  <c r="G13" i="19"/>
  <c r="G18" i="19" s="1"/>
  <c r="F8" i="19"/>
  <c r="E12" i="19" s="1"/>
  <c r="H13" i="19"/>
  <c r="H18" i="19" s="1"/>
  <c r="I13" i="19"/>
  <c r="I18" i="19" s="1"/>
  <c r="F13" i="19"/>
  <c r="F18" i="19" s="1"/>
  <c r="J12" i="19"/>
  <c r="E26" i="14"/>
  <c r="E27" i="14" s="1"/>
  <c r="E29" i="14" s="1"/>
  <c r="E36" i="14" s="1"/>
  <c r="F15" i="28" s="1"/>
  <c r="F26" i="14"/>
  <c r="F27" i="14" s="1"/>
  <c r="F29" i="14" s="1"/>
  <c r="F36" i="14" s="1"/>
  <c r="G15" i="28" s="1"/>
  <c r="G26" i="14"/>
  <c r="G27" i="14" s="1"/>
  <c r="G29" i="14" s="1"/>
  <c r="G36" i="14" s="1"/>
  <c r="H15" i="28" s="1"/>
  <c r="L26" i="14"/>
  <c r="L27" i="14" s="1"/>
  <c r="L29" i="14" s="1"/>
  <c r="L36" i="14" s="1"/>
  <c r="M15" i="28" s="1"/>
  <c r="I26" i="14"/>
  <c r="I27" i="14" s="1"/>
  <c r="I29" i="14" s="1"/>
  <c r="I36" i="14" s="1"/>
  <c r="J15" i="28" s="1"/>
  <c r="H26" i="14"/>
  <c r="H27" i="14" s="1"/>
  <c r="H29" i="14" s="1"/>
  <c r="H36" i="14" s="1"/>
  <c r="I15" i="28" s="1"/>
  <c r="K26" i="14"/>
  <c r="K27" i="14" s="1"/>
  <c r="K29" i="14" s="1"/>
  <c r="K36" i="14" s="1"/>
  <c r="L15" i="28" s="1"/>
  <c r="J26" i="14"/>
  <c r="J27" i="14" s="1"/>
  <c r="J29" i="14" s="1"/>
  <c r="J36" i="14" s="1"/>
  <c r="K15" i="28" s="1"/>
  <c r="E61" i="19"/>
  <c r="D26" i="14"/>
  <c r="D27" i="14" s="1"/>
  <c r="D29" i="14" s="1"/>
  <c r="D36" i="14" s="1"/>
  <c r="E15" i="28" s="1"/>
  <c r="E15" i="14"/>
  <c r="M25" i="14"/>
  <c r="G12" i="14"/>
  <c r="M12" i="14"/>
  <c r="E12" i="14"/>
  <c r="L12" i="14"/>
  <c r="D12" i="14"/>
  <c r="D13" i="14" s="1"/>
  <c r="K12" i="14"/>
  <c r="H12" i="14"/>
  <c r="F12" i="14"/>
  <c r="E14" i="14"/>
  <c r="J12" i="14"/>
  <c r="F25" i="14"/>
  <c r="I12" i="14"/>
  <c r="I25" i="14"/>
  <c r="D141" i="20"/>
  <c r="C33" i="41" l="1"/>
  <c r="F33" i="41" s="1"/>
  <c r="C14" i="41"/>
  <c r="H17" i="28"/>
  <c r="U12" i="31"/>
  <c r="E8" i="31"/>
  <c r="F11" i="15" s="1"/>
  <c r="G328" i="40"/>
  <c r="G329" i="40" s="1"/>
  <c r="D384" i="40" s="1"/>
  <c r="F10" i="19"/>
  <c r="E26" i="19"/>
  <c r="E27" i="19" s="1"/>
  <c r="E29" i="19" s="1"/>
  <c r="E32" i="19" s="1"/>
  <c r="F16" i="28" s="1"/>
  <c r="D579" i="40"/>
  <c r="D581" i="40" s="1"/>
  <c r="D400" i="40"/>
  <c r="D402" i="40" s="1"/>
  <c r="J9" i="40"/>
  <c r="D91" i="40"/>
  <c r="D93" i="40" s="1"/>
  <c r="L8" i="31"/>
  <c r="M11" i="15" s="1"/>
  <c r="L25" i="28" s="1"/>
  <c r="Q14" i="15"/>
  <c r="E89" i="28" s="1"/>
  <c r="H8" i="31"/>
  <c r="I11" i="15" s="1"/>
  <c r="I22" i="15" s="1"/>
  <c r="I24" i="15" s="1"/>
  <c r="D77" i="40"/>
  <c r="D75" i="40" s="1"/>
  <c r="E75" i="40" s="1"/>
  <c r="E77" i="40" s="1"/>
  <c r="U11" i="31"/>
  <c r="K25" i="28"/>
  <c r="M25" i="28"/>
  <c r="E177" i="40"/>
  <c r="E178" i="40" s="1"/>
  <c r="D214" i="40" s="1"/>
  <c r="Q20" i="15"/>
  <c r="E95" i="28" s="1"/>
  <c r="U29" i="31"/>
  <c r="D490" i="40"/>
  <c r="D492" i="40" s="1"/>
  <c r="D290" i="40"/>
  <c r="D292" i="40" s="1"/>
  <c r="N25" i="28"/>
  <c r="Q16" i="15"/>
  <c r="E91" i="28" s="1"/>
  <c r="Q18" i="15"/>
  <c r="E93" i="28" s="1"/>
  <c r="M22" i="28"/>
  <c r="K22" i="28"/>
  <c r="E22" i="28"/>
  <c r="H22" i="28"/>
  <c r="F22" i="28"/>
  <c r="L22" i="28"/>
  <c r="D15" i="37"/>
  <c r="E59" i="28"/>
  <c r="I22" i="28"/>
  <c r="G22" i="28"/>
  <c r="J22" i="28"/>
  <c r="K96" i="18"/>
  <c r="K98" i="18" s="1"/>
  <c r="K104" i="18" s="1"/>
  <c r="L21" i="28" s="1"/>
  <c r="F86" i="18"/>
  <c r="J96" i="18"/>
  <c r="J98" i="18" s="1"/>
  <c r="J104" i="18" s="1"/>
  <c r="K21" i="28" s="1"/>
  <c r="N58" i="28"/>
  <c r="N66" i="28"/>
  <c r="N69" i="28" s="1"/>
  <c r="I65" i="18"/>
  <c r="M58" i="28"/>
  <c r="M66" i="28"/>
  <c r="M69" i="28" s="1"/>
  <c r="E66" i="18"/>
  <c r="F58" i="28"/>
  <c r="F66" i="28"/>
  <c r="F69" i="28" s="1"/>
  <c r="H96" i="18"/>
  <c r="H98" i="18" s="1"/>
  <c r="H104" i="18" s="1"/>
  <c r="I21" i="28" s="1"/>
  <c r="F93" i="18"/>
  <c r="I58" i="28"/>
  <c r="I66" i="28"/>
  <c r="I69" i="28" s="1"/>
  <c r="F65" i="18"/>
  <c r="F66" i="18" s="1"/>
  <c r="G66" i="18" s="1"/>
  <c r="H66" i="18" s="1"/>
  <c r="I66" i="18" s="1"/>
  <c r="J66" i="18" s="1"/>
  <c r="K66" i="18" s="1"/>
  <c r="L66" i="18" s="1"/>
  <c r="M66" i="18" s="1"/>
  <c r="H58" i="28"/>
  <c r="H66" i="28"/>
  <c r="H69" i="28" s="1"/>
  <c r="I93" i="18"/>
  <c r="K66" i="28"/>
  <c r="K69" i="28" s="1"/>
  <c r="K58" i="28"/>
  <c r="I85" i="18"/>
  <c r="L58" i="28"/>
  <c r="L66" i="28"/>
  <c r="L69" i="28" s="1"/>
  <c r="D66" i="20"/>
  <c r="L17" i="28"/>
  <c r="L75" i="34"/>
  <c r="L76" i="34" s="1"/>
  <c r="L78" i="34" s="1"/>
  <c r="L79" i="34" s="1"/>
  <c r="L80" i="34" s="1"/>
  <c r="L81" i="34" s="1"/>
  <c r="M17" i="28"/>
  <c r="M75" i="34"/>
  <c r="M76" i="34" s="1"/>
  <c r="M78" i="34" s="1"/>
  <c r="M79" i="34" s="1"/>
  <c r="M80" i="34" s="1"/>
  <c r="M81" i="34" s="1"/>
  <c r="I17" i="28"/>
  <c r="I75" i="34"/>
  <c r="I76" i="34" s="1"/>
  <c r="I78" i="34" s="1"/>
  <c r="I79" i="34" s="1"/>
  <c r="I80" i="34" s="1"/>
  <c r="I81" i="34" s="1"/>
  <c r="K75" i="34"/>
  <c r="K76" i="34" s="1"/>
  <c r="K78" i="34" s="1"/>
  <c r="K79" i="34" s="1"/>
  <c r="K80" i="34" s="1"/>
  <c r="K81" i="34" s="1"/>
  <c r="K17" i="28"/>
  <c r="J17" i="28"/>
  <c r="J75" i="34"/>
  <c r="J76" i="34" s="1"/>
  <c r="J78" i="34" s="1"/>
  <c r="J79" i="34" s="1"/>
  <c r="J80" i="34" s="1"/>
  <c r="J81" i="34" s="1"/>
  <c r="G17" i="28"/>
  <c r="G75" i="34"/>
  <c r="G76" i="34" s="1"/>
  <c r="G78" i="34" s="1"/>
  <c r="G79" i="34" s="1"/>
  <c r="G80" i="34" s="1"/>
  <c r="G81" i="34" s="1"/>
  <c r="E17" i="28"/>
  <c r="E75" i="34"/>
  <c r="N17" i="28"/>
  <c r="N75" i="34"/>
  <c r="N76" i="34" s="1"/>
  <c r="N78" i="34" s="1"/>
  <c r="N79" i="34" s="1"/>
  <c r="N80" i="34" s="1"/>
  <c r="N81" i="34" s="1"/>
  <c r="F17" i="28"/>
  <c r="F75" i="34"/>
  <c r="F76" i="34" s="1"/>
  <c r="F78" i="34" s="1"/>
  <c r="F79" i="34" s="1"/>
  <c r="F80" i="34" s="1"/>
  <c r="F81" i="34" s="1"/>
  <c r="G19" i="19"/>
  <c r="G20" i="19"/>
  <c r="G21" i="19"/>
  <c r="D12" i="19"/>
  <c r="D19" i="19"/>
  <c r="D20" i="19"/>
  <c r="D21" i="19"/>
  <c r="J19" i="19"/>
  <c r="J21" i="19"/>
  <c r="J20" i="19"/>
  <c r="F12" i="19"/>
  <c r="F19" i="19"/>
  <c r="F20" i="19"/>
  <c r="F21" i="19"/>
  <c r="E19" i="19"/>
  <c r="E20" i="19"/>
  <c r="E21" i="19"/>
  <c r="K19" i="19"/>
  <c r="K20" i="19"/>
  <c r="K21" i="19"/>
  <c r="I19" i="19"/>
  <c r="I21" i="19"/>
  <c r="I20" i="19"/>
  <c r="M19" i="19"/>
  <c r="M20" i="19"/>
  <c r="M21" i="19"/>
  <c r="H19" i="19"/>
  <c r="H21" i="19"/>
  <c r="H20" i="19"/>
  <c r="L19" i="19"/>
  <c r="L21" i="19"/>
  <c r="L20" i="19"/>
  <c r="D27" i="19"/>
  <c r="D29" i="19" s="1"/>
  <c r="D32" i="19" s="1"/>
  <c r="E16" i="28" s="1"/>
  <c r="H27" i="28"/>
  <c r="Q17" i="15"/>
  <c r="E92" i="28" s="1"/>
  <c r="Q10" i="15"/>
  <c r="E85" i="28" s="1"/>
  <c r="E27" i="28"/>
  <c r="Q13" i="15"/>
  <c r="E88" i="28" s="1"/>
  <c r="Q15" i="15"/>
  <c r="E90" i="28" s="1"/>
  <c r="E25" i="28"/>
  <c r="K27" i="28"/>
  <c r="F6" i="34"/>
  <c r="J25" i="28"/>
  <c r="F25" i="28"/>
  <c r="I25" i="28"/>
  <c r="N22" i="15"/>
  <c r="N24" i="15" s="1"/>
  <c r="H22" i="15"/>
  <c r="H24" i="15" s="1"/>
  <c r="J22" i="15"/>
  <c r="J24" i="15" s="1"/>
  <c r="L22" i="15"/>
  <c r="L24" i="15" s="1"/>
  <c r="G22" i="15"/>
  <c r="G24" i="15" s="1"/>
  <c r="O22" i="15"/>
  <c r="O24" i="15" s="1"/>
  <c r="K22" i="15"/>
  <c r="K24" i="15" s="1"/>
  <c r="D6" i="34"/>
  <c r="F22" i="15"/>
  <c r="F24" i="15" s="1"/>
  <c r="E6" i="34"/>
  <c r="J8" i="40"/>
  <c r="D306" i="40"/>
  <c r="D309" i="40" s="1"/>
  <c r="J7" i="40"/>
  <c r="D230" i="40"/>
  <c r="D233" i="40" s="1"/>
  <c r="D164" i="40"/>
  <c r="D143" i="40"/>
  <c r="E141" i="40"/>
  <c r="E143" i="40" s="1"/>
  <c r="J11" i="40"/>
  <c r="D595" i="40"/>
  <c r="D597" i="40" s="1"/>
  <c r="D506" i="40"/>
  <c r="D508" i="40" s="1"/>
  <c r="J10" i="40"/>
  <c r="U43" i="31"/>
  <c r="T21" i="31"/>
  <c r="U21" i="31" s="1"/>
  <c r="U5" i="31"/>
  <c r="T6" i="31"/>
  <c r="U6" i="31" s="1"/>
  <c r="H11" i="36"/>
  <c r="I4" i="36"/>
  <c r="E74" i="28"/>
  <c r="D24" i="37"/>
  <c r="F16" i="37"/>
  <c r="D83" i="18"/>
  <c r="D89" i="18" s="1"/>
  <c r="D90" i="18" s="1"/>
  <c r="D100" i="18" s="1"/>
  <c r="E10" i="28" s="1"/>
  <c r="I24" i="18"/>
  <c r="J24" i="18" s="1"/>
  <c r="H86" i="18"/>
  <c r="I94" i="18"/>
  <c r="I87" i="18"/>
  <c r="L96" i="18"/>
  <c r="L98" i="18" s="1"/>
  <c r="L104" i="18" s="1"/>
  <c r="M21" i="28" s="1"/>
  <c r="M31" i="18"/>
  <c r="M87" i="18" s="1"/>
  <c r="L87" i="18"/>
  <c r="G86" i="18"/>
  <c r="F88" i="18"/>
  <c r="E96" i="18"/>
  <c r="E98" i="18" s="1"/>
  <c r="E104" i="18" s="1"/>
  <c r="F21" i="28" s="1"/>
  <c r="M96" i="18"/>
  <c r="M98" i="18" s="1"/>
  <c r="M104" i="18" s="1"/>
  <c r="N21" i="28" s="1"/>
  <c r="D96" i="18"/>
  <c r="D98" i="18" s="1"/>
  <c r="D104" i="18" s="1"/>
  <c r="E21" i="28" s="1"/>
  <c r="F87" i="18"/>
  <c r="F94" i="18"/>
  <c r="F96" i="18" s="1"/>
  <c r="F98" i="18" s="1"/>
  <c r="F104" i="18" s="1"/>
  <c r="G21" i="28" s="1"/>
  <c r="G96" i="18"/>
  <c r="G98" i="18" s="1"/>
  <c r="G104" i="18" s="1"/>
  <c r="H21" i="28" s="1"/>
  <c r="F33" i="18"/>
  <c r="E77" i="18"/>
  <c r="E83" i="18" s="1"/>
  <c r="C21" i="22"/>
  <c r="C24" i="22"/>
  <c r="C23" i="22"/>
  <c r="L33" i="22"/>
  <c r="L39" i="22" s="1"/>
  <c r="M20" i="28" s="1"/>
  <c r="D33" i="22"/>
  <c r="D39" i="22" s="1"/>
  <c r="E20" i="28" s="1"/>
  <c r="G33" i="22"/>
  <c r="G39" i="22" s="1"/>
  <c r="H20" i="28" s="1"/>
  <c r="J31" i="22"/>
  <c r="J33" i="22" s="1"/>
  <c r="J39" i="22" s="1"/>
  <c r="K20" i="28" s="1"/>
  <c r="C20" i="22"/>
  <c r="C19" i="22"/>
  <c r="D15" i="22"/>
  <c r="B141" i="20"/>
  <c r="E83" i="20"/>
  <c r="E89" i="20" s="1"/>
  <c r="F19" i="28" s="1"/>
  <c r="F23" i="28" s="1"/>
  <c r="G81" i="20"/>
  <c r="G83" i="20" s="1"/>
  <c r="G89" i="20" s="1"/>
  <c r="H80" i="20"/>
  <c r="I61" i="20"/>
  <c r="J61" i="20" s="1"/>
  <c r="E66" i="20"/>
  <c r="E74" i="20" s="1"/>
  <c r="D69" i="20"/>
  <c r="I65" i="20"/>
  <c r="F63" i="20"/>
  <c r="F81" i="20"/>
  <c r="F83" i="20" s="1"/>
  <c r="F89" i="20" s="1"/>
  <c r="G32" i="20"/>
  <c r="G38" i="20" s="1"/>
  <c r="H19" i="28" s="1"/>
  <c r="F32" i="20"/>
  <c r="F38" i="20" s="1"/>
  <c r="K32" i="20"/>
  <c r="K38" i="20" s="1"/>
  <c r="D30" i="20"/>
  <c r="D32" i="20" s="1"/>
  <c r="D38" i="20" s="1"/>
  <c r="E19" i="28" s="1"/>
  <c r="F10" i="20"/>
  <c r="D18" i="26"/>
  <c r="E13" i="14"/>
  <c r="F13" i="14" s="1"/>
  <c r="G13" i="14" s="1"/>
  <c r="H13" i="14" s="1"/>
  <c r="I13" i="14" s="1"/>
  <c r="J13" i="14" s="1"/>
  <c r="K13" i="14" s="1"/>
  <c r="L13" i="14" s="1"/>
  <c r="M13" i="14" s="1"/>
  <c r="D14" i="20"/>
  <c r="E13" i="26"/>
  <c r="E18" i="26" s="1"/>
  <c r="D19" i="14"/>
  <c r="F14" i="14"/>
  <c r="F15" i="14"/>
  <c r="D18" i="14"/>
  <c r="S5" i="41" l="1"/>
  <c r="F14" i="41"/>
  <c r="M22" i="15"/>
  <c r="M24" i="15" s="1"/>
  <c r="S8" i="41"/>
  <c r="U44" i="31"/>
  <c r="E490" i="40"/>
  <c r="E492" i="40" s="1"/>
  <c r="Q11" i="15"/>
  <c r="E86" i="28" s="1"/>
  <c r="E98" i="28" s="1"/>
  <c r="F490" i="40"/>
  <c r="F492" i="40" s="1"/>
  <c r="K22" i="19"/>
  <c r="H22" i="19"/>
  <c r="H31" i="19" s="1"/>
  <c r="I22" i="19"/>
  <c r="I31" i="19" s="1"/>
  <c r="M22" i="19"/>
  <c r="M31" i="19" s="1"/>
  <c r="J22" i="19"/>
  <c r="E22" i="19"/>
  <c r="E31" i="19" s="1"/>
  <c r="E33" i="19" s="1"/>
  <c r="G22" i="19"/>
  <c r="G10" i="19"/>
  <c r="F26" i="19"/>
  <c r="F27" i="19" s="1"/>
  <c r="F29" i="19" s="1"/>
  <c r="F32" i="19" s="1"/>
  <c r="G16" i="28" s="1"/>
  <c r="D22" i="19"/>
  <c r="E6" i="28" s="1"/>
  <c r="L22" i="19"/>
  <c r="M6" i="28" s="1"/>
  <c r="F22" i="19"/>
  <c r="F31" i="19" s="1"/>
  <c r="F33" i="19" s="1"/>
  <c r="E579" i="40"/>
  <c r="E581" i="40" s="1"/>
  <c r="D582" i="40" s="1"/>
  <c r="D78" i="40"/>
  <c r="H25" i="28"/>
  <c r="U45" i="31"/>
  <c r="U47" i="31" s="1"/>
  <c r="E290" i="40"/>
  <c r="E292" i="40" s="1"/>
  <c r="D293" i="40" s="1"/>
  <c r="D144" i="40"/>
  <c r="D19" i="37"/>
  <c r="D20" i="37"/>
  <c r="D22" i="37"/>
  <c r="E15" i="37"/>
  <c r="D21" i="37"/>
  <c r="E80" i="28"/>
  <c r="I86" i="18"/>
  <c r="G58" i="28"/>
  <c r="G66" i="28"/>
  <c r="G69" i="28" s="1"/>
  <c r="J66" i="28"/>
  <c r="J69" i="28" s="1"/>
  <c r="J58" i="28"/>
  <c r="D20" i="34"/>
  <c r="J88" i="28" s="1"/>
  <c r="E78" i="28"/>
  <c r="G19" i="28"/>
  <c r="G23" i="28" s="1"/>
  <c r="G30" i="28" s="1"/>
  <c r="D73" i="20"/>
  <c r="D74" i="20"/>
  <c r="D70" i="20"/>
  <c r="D75" i="20"/>
  <c r="F30" i="28"/>
  <c r="F31" i="28"/>
  <c r="F29" i="28"/>
  <c r="F38" i="28" s="1"/>
  <c r="E76" i="28"/>
  <c r="F6" i="28"/>
  <c r="K6" i="28"/>
  <c r="J31" i="19"/>
  <c r="G31" i="19"/>
  <c r="H6" i="28"/>
  <c r="E23" i="28"/>
  <c r="E29" i="28" s="1"/>
  <c r="E38" i="28" s="1"/>
  <c r="K31" i="19"/>
  <c r="L6" i="28"/>
  <c r="D20" i="14"/>
  <c r="D21" i="14"/>
  <c r="D25" i="15"/>
  <c r="D386" i="40"/>
  <c r="E384" i="40"/>
  <c r="E386" i="40" s="1"/>
  <c r="D216" i="40"/>
  <c r="E214" i="40"/>
  <c r="E216" i="40" s="1"/>
  <c r="G16" i="37"/>
  <c r="D103" i="18"/>
  <c r="D105" i="18"/>
  <c r="E89" i="18"/>
  <c r="E90" i="18" s="1"/>
  <c r="E100" i="18" s="1"/>
  <c r="F10" i="28" s="1"/>
  <c r="I96" i="18"/>
  <c r="I98" i="18" s="1"/>
  <c r="I104" i="18" s="1"/>
  <c r="J21" i="28" s="1"/>
  <c r="G33" i="18"/>
  <c r="F77" i="18"/>
  <c r="F83" i="18" s="1"/>
  <c r="K24" i="18"/>
  <c r="J86" i="18"/>
  <c r="D24" i="22"/>
  <c r="D23" i="22"/>
  <c r="D21" i="22"/>
  <c r="D20" i="22"/>
  <c r="C22" i="22"/>
  <c r="C25" i="22"/>
  <c r="E15" i="22"/>
  <c r="D19" i="22"/>
  <c r="D71" i="20"/>
  <c r="D72" i="20"/>
  <c r="D24" i="20"/>
  <c r="D17" i="20"/>
  <c r="D23" i="20"/>
  <c r="I80" i="20"/>
  <c r="I81" i="20" s="1"/>
  <c r="I83" i="20" s="1"/>
  <c r="I89" i="20" s="1"/>
  <c r="J19" i="28" s="1"/>
  <c r="H81" i="20"/>
  <c r="H83" i="20" s="1"/>
  <c r="H89" i="20" s="1"/>
  <c r="I19" i="28" s="1"/>
  <c r="G63" i="20"/>
  <c r="E75" i="20"/>
  <c r="E70" i="20"/>
  <c r="F66" i="20"/>
  <c r="F74" i="20" s="1"/>
  <c r="E69" i="20"/>
  <c r="E73" i="20"/>
  <c r="K61" i="20"/>
  <c r="J80" i="20"/>
  <c r="E14" i="20"/>
  <c r="D18" i="20"/>
  <c r="D22" i="20"/>
  <c r="G10" i="20"/>
  <c r="E20" i="26"/>
  <c r="E21" i="26"/>
  <c r="D20" i="26"/>
  <c r="D21" i="26"/>
  <c r="E18" i="14"/>
  <c r="E19" i="14"/>
  <c r="E19" i="26"/>
  <c r="F13" i="26"/>
  <c r="F18" i="26" s="1"/>
  <c r="G15" i="14"/>
  <c r="F19" i="14"/>
  <c r="G14" i="14"/>
  <c r="F18" i="14"/>
  <c r="S9" i="41" l="1"/>
  <c r="S10" i="41" s="1"/>
  <c r="S14" i="41"/>
  <c r="T23" i="41"/>
  <c r="S23" i="41"/>
  <c r="D493" i="40"/>
  <c r="J6" i="28"/>
  <c r="I6" i="28"/>
  <c r="G6" i="28"/>
  <c r="L31" i="19"/>
  <c r="N6" i="28"/>
  <c r="H10" i="19"/>
  <c r="G26" i="19"/>
  <c r="G27" i="19" s="1"/>
  <c r="G29" i="19" s="1"/>
  <c r="G32" i="19" s="1"/>
  <c r="H16" i="28" s="1"/>
  <c r="H23" i="28" s="1"/>
  <c r="H29" i="28" s="1"/>
  <c r="H38" i="28" s="1"/>
  <c r="D31" i="19"/>
  <c r="D33" i="19" s="1"/>
  <c r="D22" i="14"/>
  <c r="E5" i="28" s="1"/>
  <c r="D23" i="37"/>
  <c r="D25" i="37"/>
  <c r="D26" i="37"/>
  <c r="D35" i="37" s="1"/>
  <c r="E24" i="37"/>
  <c r="F15" i="37"/>
  <c r="E19" i="37"/>
  <c r="E20" i="37"/>
  <c r="E22" i="37"/>
  <c r="E21" i="37"/>
  <c r="E79" i="28"/>
  <c r="H30" i="28"/>
  <c r="D7" i="34"/>
  <c r="G29" i="28"/>
  <c r="G38" i="28" s="1"/>
  <c r="G31" i="28"/>
  <c r="E30" i="28"/>
  <c r="E31" i="28"/>
  <c r="D31" i="34"/>
  <c r="F20" i="14"/>
  <c r="F21" i="14"/>
  <c r="E21" i="14"/>
  <c r="E20" i="14"/>
  <c r="D387" i="40"/>
  <c r="D217" i="40"/>
  <c r="H16" i="37"/>
  <c r="E103" i="18"/>
  <c r="E105" i="18" s="1"/>
  <c r="L24" i="18"/>
  <c r="K86" i="18"/>
  <c r="F89" i="18"/>
  <c r="F90" i="18" s="1"/>
  <c r="F100" i="18" s="1"/>
  <c r="G10" i="28" s="1"/>
  <c r="H33" i="18"/>
  <c r="G77" i="18"/>
  <c r="G83" i="18" s="1"/>
  <c r="E24" i="22"/>
  <c r="E23" i="22"/>
  <c r="C26" i="22"/>
  <c r="C35" i="22" s="1"/>
  <c r="C40" i="22" s="1"/>
  <c r="E20" i="22"/>
  <c r="E21" i="22"/>
  <c r="D25" i="22"/>
  <c r="D22" i="22"/>
  <c r="F15" i="22"/>
  <c r="E19" i="22"/>
  <c r="B142" i="20"/>
  <c r="D142" i="20"/>
  <c r="E71" i="20"/>
  <c r="E72" i="20"/>
  <c r="E23" i="20"/>
  <c r="E24" i="20"/>
  <c r="E17" i="20"/>
  <c r="D76" i="20"/>
  <c r="D85" i="20" s="1"/>
  <c r="D88" i="20" s="1"/>
  <c r="F75" i="20"/>
  <c r="F70" i="20"/>
  <c r="F69" i="20"/>
  <c r="G66" i="20"/>
  <c r="G74" i="20" s="1"/>
  <c r="J81" i="20"/>
  <c r="J83" i="20" s="1"/>
  <c r="J89" i="20" s="1"/>
  <c r="K19" i="28" s="1"/>
  <c r="F73" i="20"/>
  <c r="L61" i="20"/>
  <c r="K80" i="20"/>
  <c r="H63" i="20"/>
  <c r="F14" i="20"/>
  <c r="E18" i="20"/>
  <c r="E22" i="20"/>
  <c r="D21" i="20"/>
  <c r="D20" i="20"/>
  <c r="D19" i="20"/>
  <c r="H10" i="20"/>
  <c r="E22" i="26"/>
  <c r="E33" i="26" s="1"/>
  <c r="D22" i="26"/>
  <c r="D33" i="26" s="1"/>
  <c r="F20" i="26"/>
  <c r="F21" i="26"/>
  <c r="F19" i="26"/>
  <c r="G13" i="26"/>
  <c r="G18" i="26" s="1"/>
  <c r="H15" i="14"/>
  <c r="G19" i="14"/>
  <c r="H14" i="14"/>
  <c r="G18" i="14"/>
  <c r="H31" i="28" l="1"/>
  <c r="G33" i="19"/>
  <c r="I10" i="19"/>
  <c r="H26" i="19"/>
  <c r="E22" i="14"/>
  <c r="F5" i="28" s="1"/>
  <c r="F22" i="14"/>
  <c r="F32" i="14" s="1"/>
  <c r="F35" i="14" s="1"/>
  <c r="F37" i="14" s="1"/>
  <c r="D32" i="14"/>
  <c r="D35" i="14" s="1"/>
  <c r="D37" i="14" s="1"/>
  <c r="F21" i="37"/>
  <c r="F22" i="37"/>
  <c r="F24" i="37"/>
  <c r="G15" i="37"/>
  <c r="F19" i="37"/>
  <c r="F20" i="37"/>
  <c r="E11" i="28"/>
  <c r="D38" i="37"/>
  <c r="D40" i="37"/>
  <c r="E23" i="37"/>
  <c r="E25" i="37"/>
  <c r="D143" i="20"/>
  <c r="N56" i="28"/>
  <c r="K56" i="28"/>
  <c r="L56" i="28"/>
  <c r="M56" i="28"/>
  <c r="B143" i="20"/>
  <c r="F56" i="28"/>
  <c r="E56" i="28"/>
  <c r="G56" i="28"/>
  <c r="E7" i="28"/>
  <c r="D36" i="26"/>
  <c r="D38" i="26" s="1"/>
  <c r="E36" i="26"/>
  <c r="E38" i="26" s="1"/>
  <c r="F7" i="28"/>
  <c r="G21" i="14"/>
  <c r="G20" i="14"/>
  <c r="I16" i="37"/>
  <c r="F103" i="18"/>
  <c r="F105" i="18" s="1"/>
  <c r="M24" i="18"/>
  <c r="M86" i="18" s="1"/>
  <c r="L86" i="18"/>
  <c r="G89" i="18"/>
  <c r="G90" i="18" s="1"/>
  <c r="G100" i="18" s="1"/>
  <c r="H10" i="28" s="1"/>
  <c r="I33" i="18"/>
  <c r="H77" i="18"/>
  <c r="H83" i="18" s="1"/>
  <c r="F24" i="22"/>
  <c r="F23" i="22"/>
  <c r="F21" i="22"/>
  <c r="F20" i="22"/>
  <c r="D26" i="22"/>
  <c r="D35" i="22" s="1"/>
  <c r="E25" i="22"/>
  <c r="E22" i="22"/>
  <c r="G15" i="22"/>
  <c r="F19" i="22"/>
  <c r="F71" i="20"/>
  <c r="F72" i="20"/>
  <c r="F23" i="20"/>
  <c r="F24" i="20"/>
  <c r="F17" i="20"/>
  <c r="D90" i="20"/>
  <c r="E76" i="20"/>
  <c r="E85" i="20" s="1"/>
  <c r="M61" i="20"/>
  <c r="M80" i="20" s="1"/>
  <c r="L80" i="20"/>
  <c r="G75" i="20"/>
  <c r="G70" i="20"/>
  <c r="G69" i="20"/>
  <c r="H66" i="20"/>
  <c r="G73" i="20"/>
  <c r="I63" i="20"/>
  <c r="K81" i="20"/>
  <c r="K83" i="20" s="1"/>
  <c r="K89" i="20" s="1"/>
  <c r="L19" i="28" s="1"/>
  <c r="D25" i="20"/>
  <c r="D34" i="20" s="1"/>
  <c r="E8" i="28" s="1"/>
  <c r="G14" i="20"/>
  <c r="F18" i="20"/>
  <c r="F22" i="20"/>
  <c r="E19" i="20"/>
  <c r="E21" i="20"/>
  <c r="E20" i="20"/>
  <c r="I10" i="20"/>
  <c r="G20" i="26"/>
  <c r="G21" i="26"/>
  <c r="F22" i="26"/>
  <c r="F33" i="26" s="1"/>
  <c r="G19" i="26"/>
  <c r="H13" i="26"/>
  <c r="H18" i="26" s="1"/>
  <c r="I14" i="14"/>
  <c r="H18" i="14"/>
  <c r="I15" i="14"/>
  <c r="H19" i="14"/>
  <c r="G5" i="28" l="1"/>
  <c r="E32" i="14"/>
  <c r="E35" i="14" s="1"/>
  <c r="H27" i="19"/>
  <c r="H29" i="19"/>
  <c r="H32" i="19" s="1"/>
  <c r="J10" i="19"/>
  <c r="I26" i="19"/>
  <c r="I27" i="19" s="1"/>
  <c r="I29" i="19" s="1"/>
  <c r="I32" i="19" s="1"/>
  <c r="G22" i="14"/>
  <c r="H5" i="28" s="1"/>
  <c r="E26" i="37"/>
  <c r="E35" i="37" s="1"/>
  <c r="F23" i="37"/>
  <c r="F26" i="37" s="1"/>
  <c r="F35" i="37" s="1"/>
  <c r="F25" i="37"/>
  <c r="G22" i="37"/>
  <c r="G24" i="37"/>
  <c r="H15" i="37"/>
  <c r="G19" i="37"/>
  <c r="G21" i="37"/>
  <c r="G20" i="37"/>
  <c r="D38" i="22"/>
  <c r="D40" i="22" s="1"/>
  <c r="E9" i="28"/>
  <c r="E12" i="28" s="1"/>
  <c r="E34" i="28" s="1"/>
  <c r="E39" i="28" s="1"/>
  <c r="E40" i="28" s="1"/>
  <c r="H73" i="20"/>
  <c r="H74" i="20"/>
  <c r="F36" i="26"/>
  <c r="F38" i="26" s="1"/>
  <c r="G7" i="28"/>
  <c r="H20" i="14"/>
  <c r="H21" i="14"/>
  <c r="D37" i="20"/>
  <c r="D39" i="20" s="1"/>
  <c r="J16" i="37"/>
  <c r="G103" i="18"/>
  <c r="G105" i="18" s="1"/>
  <c r="H89" i="18"/>
  <c r="H90" i="18" s="1"/>
  <c r="H100" i="18" s="1"/>
  <c r="I10" i="28" s="1"/>
  <c r="J33" i="18"/>
  <c r="I77" i="18"/>
  <c r="I83" i="18" s="1"/>
  <c r="G24" i="22"/>
  <c r="G23" i="22"/>
  <c r="G20" i="22"/>
  <c r="G21" i="22"/>
  <c r="E26" i="22"/>
  <c r="E35" i="22" s="1"/>
  <c r="F22" i="22"/>
  <c r="F25" i="22"/>
  <c r="H15" i="22"/>
  <c r="G19" i="22"/>
  <c r="E76" i="34"/>
  <c r="E78" i="34" s="1"/>
  <c r="E79" i="34" s="1"/>
  <c r="E80" i="34" s="1"/>
  <c r="E81" i="34" s="1"/>
  <c r="C82" i="34" s="1"/>
  <c r="G72" i="20"/>
  <c r="G71" i="20"/>
  <c r="G23" i="20"/>
  <c r="G24" i="20"/>
  <c r="G17" i="20"/>
  <c r="F76" i="20"/>
  <c r="F85" i="20" s="1"/>
  <c r="E88" i="20"/>
  <c r="E90" i="20" s="1"/>
  <c r="L81" i="20"/>
  <c r="L83" i="20" s="1"/>
  <c r="L89" i="20" s="1"/>
  <c r="M19" i="28" s="1"/>
  <c r="M81" i="20"/>
  <c r="M83" i="20" s="1"/>
  <c r="M89" i="20" s="1"/>
  <c r="N19" i="28" s="1"/>
  <c r="J63" i="20"/>
  <c r="H75" i="20"/>
  <c r="H70" i="20"/>
  <c r="H69" i="20"/>
  <c r="I66" i="20"/>
  <c r="E25" i="20"/>
  <c r="E34" i="20" s="1"/>
  <c r="F8" i="28" s="1"/>
  <c r="H14" i="20"/>
  <c r="G18" i="20"/>
  <c r="G22" i="20"/>
  <c r="F20" i="20"/>
  <c r="F21" i="20"/>
  <c r="F19" i="20"/>
  <c r="J10" i="20"/>
  <c r="H20" i="26"/>
  <c r="H21" i="26"/>
  <c r="G22" i="26"/>
  <c r="G33" i="26" s="1"/>
  <c r="H19" i="26"/>
  <c r="I13" i="26"/>
  <c r="I18" i="26" s="1"/>
  <c r="J14" i="14"/>
  <c r="I18" i="14"/>
  <c r="J15" i="14"/>
  <c r="I19" i="14"/>
  <c r="E37" i="14" l="1"/>
  <c r="I16" i="28"/>
  <c r="H33" i="19"/>
  <c r="K10" i="19"/>
  <c r="J26" i="19"/>
  <c r="J27" i="19" s="1"/>
  <c r="J29" i="19" s="1"/>
  <c r="J32" i="19" s="1"/>
  <c r="J16" i="28"/>
  <c r="I33" i="19"/>
  <c r="E38" i="37"/>
  <c r="E40" i="37" s="1"/>
  <c r="F11" i="28"/>
  <c r="G32" i="14"/>
  <c r="G35" i="14" s="1"/>
  <c r="G37" i="14" s="1"/>
  <c r="H22" i="14"/>
  <c r="I5" i="28" s="1"/>
  <c r="G11" i="28"/>
  <c r="F38" i="37"/>
  <c r="F40" i="37"/>
  <c r="G23" i="37"/>
  <c r="G25" i="37"/>
  <c r="G26" i="37" s="1"/>
  <c r="G35" i="37" s="1"/>
  <c r="H19" i="37"/>
  <c r="I15" i="37"/>
  <c r="H22" i="37"/>
  <c r="H20" i="37"/>
  <c r="H24" i="37"/>
  <c r="H21" i="37"/>
  <c r="E38" i="22"/>
  <c r="E40" i="22" s="1"/>
  <c r="F9" i="28"/>
  <c r="I73" i="20"/>
  <c r="I74" i="20"/>
  <c r="E77" i="28"/>
  <c r="G36" i="26"/>
  <c r="G38" i="26" s="1"/>
  <c r="H7" i="28"/>
  <c r="I20" i="14"/>
  <c r="I21" i="14"/>
  <c r="E37" i="20"/>
  <c r="E39" i="20" s="1"/>
  <c r="K16" i="37"/>
  <c r="H103" i="18"/>
  <c r="H105" i="18" s="1"/>
  <c r="K33" i="18"/>
  <c r="J77" i="18"/>
  <c r="J83" i="18" s="1"/>
  <c r="I89" i="18"/>
  <c r="I90" i="18" s="1"/>
  <c r="I100" i="18" s="1"/>
  <c r="J10" i="28" s="1"/>
  <c r="H23" i="22"/>
  <c r="H24" i="22"/>
  <c r="H20" i="22"/>
  <c r="H21" i="22"/>
  <c r="F26" i="22"/>
  <c r="F35" i="22" s="1"/>
  <c r="G22" i="22"/>
  <c r="G25" i="22"/>
  <c r="I15" i="22"/>
  <c r="H19" i="22"/>
  <c r="G76" i="20"/>
  <c r="G85" i="20" s="1"/>
  <c r="G88" i="20" s="1"/>
  <c r="G90" i="20" s="1"/>
  <c r="H72" i="20"/>
  <c r="H71" i="20"/>
  <c r="H23" i="20"/>
  <c r="H24" i="20"/>
  <c r="H17" i="20"/>
  <c r="F88" i="20"/>
  <c r="F90" i="20" s="1"/>
  <c r="K63" i="20"/>
  <c r="I70" i="20"/>
  <c r="I69" i="20"/>
  <c r="J66" i="20"/>
  <c r="J74" i="20" s="1"/>
  <c r="I75" i="20"/>
  <c r="F25" i="20"/>
  <c r="F34" i="20" s="1"/>
  <c r="G8" i="28" s="1"/>
  <c r="I14" i="20"/>
  <c r="H18" i="20"/>
  <c r="H22" i="20"/>
  <c r="G21" i="20"/>
  <c r="G19" i="20"/>
  <c r="G20" i="20"/>
  <c r="K10" i="20"/>
  <c r="H22" i="26"/>
  <c r="H33" i="26" s="1"/>
  <c r="I20" i="26"/>
  <c r="I21" i="26"/>
  <c r="I19" i="26"/>
  <c r="J13" i="26"/>
  <c r="J18" i="26" s="1"/>
  <c r="K15" i="14"/>
  <c r="J19" i="14"/>
  <c r="K14" i="14"/>
  <c r="J18" i="14"/>
  <c r="J23" i="28" l="1"/>
  <c r="J31" i="28" s="1"/>
  <c r="K16" i="28"/>
  <c r="J33" i="19"/>
  <c r="L10" i="19"/>
  <c r="K26" i="19"/>
  <c r="K27" i="19" s="1"/>
  <c r="K29" i="19" s="1"/>
  <c r="K32" i="19" s="1"/>
  <c r="I23" i="28"/>
  <c r="I30" i="28" s="1"/>
  <c r="E7" i="34"/>
  <c r="I31" i="28"/>
  <c r="I29" i="28"/>
  <c r="I38" i="28" s="1"/>
  <c r="F12" i="28"/>
  <c r="F34" i="28" s="1"/>
  <c r="F39" i="28" s="1"/>
  <c r="F40" i="28" s="1"/>
  <c r="H32" i="14"/>
  <c r="H35" i="14" s="1"/>
  <c r="I19" i="37"/>
  <c r="I21" i="37"/>
  <c r="I24" i="37"/>
  <c r="I22" i="37"/>
  <c r="J15" i="37"/>
  <c r="I20" i="37"/>
  <c r="H23" i="37"/>
  <c r="H25" i="37"/>
  <c r="H26" i="37" s="1"/>
  <c r="H35" i="37" s="1"/>
  <c r="H11" i="28"/>
  <c r="G38" i="37"/>
  <c r="G40" i="37" s="1"/>
  <c r="F38" i="22"/>
  <c r="F40" i="22" s="1"/>
  <c r="G9" i="28"/>
  <c r="G12" i="28" s="1"/>
  <c r="G34" i="28" s="1"/>
  <c r="G39" i="28" s="1"/>
  <c r="G40" i="28" s="1"/>
  <c r="I22" i="14"/>
  <c r="J5" i="28" s="1"/>
  <c r="H36" i="26"/>
  <c r="H38" i="26" s="1"/>
  <c r="I7" i="28"/>
  <c r="J20" i="14"/>
  <c r="J21" i="14"/>
  <c r="L16" i="37"/>
  <c r="I103" i="18"/>
  <c r="I105" i="18" s="1"/>
  <c r="J89" i="18"/>
  <c r="J90" i="18" s="1"/>
  <c r="J100" i="18" s="1"/>
  <c r="K10" i="28" s="1"/>
  <c r="L33" i="18"/>
  <c r="K77" i="18"/>
  <c r="K83" i="18" s="1"/>
  <c r="I23" i="22"/>
  <c r="I24" i="22"/>
  <c r="I20" i="22"/>
  <c r="I21" i="22"/>
  <c r="G26" i="22"/>
  <c r="G35" i="22" s="1"/>
  <c r="H25" i="22"/>
  <c r="H22" i="22"/>
  <c r="J15" i="22"/>
  <c r="I19" i="22"/>
  <c r="I72" i="20"/>
  <c r="I71" i="20"/>
  <c r="I23" i="20"/>
  <c r="I24" i="20"/>
  <c r="I17" i="20"/>
  <c r="H76" i="20"/>
  <c r="H85" i="20" s="1"/>
  <c r="H88" i="20" s="1"/>
  <c r="H90" i="20" s="1"/>
  <c r="J69" i="20"/>
  <c r="K66" i="20"/>
  <c r="J70" i="20"/>
  <c r="J75" i="20"/>
  <c r="L63" i="20"/>
  <c r="J73" i="20"/>
  <c r="F37" i="20"/>
  <c r="F39" i="20" s="1"/>
  <c r="G25" i="20"/>
  <c r="G34" i="20" s="1"/>
  <c r="H8" i="28" s="1"/>
  <c r="J14" i="20"/>
  <c r="I18" i="20"/>
  <c r="I22" i="20"/>
  <c r="H21" i="20"/>
  <c r="H19" i="20"/>
  <c r="H20" i="20"/>
  <c r="L10" i="20"/>
  <c r="I22" i="26"/>
  <c r="I33" i="26" s="1"/>
  <c r="J20" i="26"/>
  <c r="J21" i="26"/>
  <c r="J19" i="26"/>
  <c r="K13" i="26"/>
  <c r="K18" i="26" s="1"/>
  <c r="L15" i="14"/>
  <c r="K19" i="14"/>
  <c r="L14" i="14"/>
  <c r="K18" i="14"/>
  <c r="K23" i="28" l="1"/>
  <c r="K29" i="28" s="1"/>
  <c r="K38" i="28" s="1"/>
  <c r="K30" i="28"/>
  <c r="K31" i="28"/>
  <c r="J30" i="28"/>
  <c r="J29" i="28"/>
  <c r="J38" i="28" s="1"/>
  <c r="L16" i="28"/>
  <c r="K33" i="19"/>
  <c r="M10" i="19"/>
  <c r="M26" i="19" s="1"/>
  <c r="M27" i="19" s="1"/>
  <c r="M29" i="19" s="1"/>
  <c r="M32" i="19" s="1"/>
  <c r="L26" i="19"/>
  <c r="L27" i="19" s="1"/>
  <c r="L29" i="19" s="1"/>
  <c r="L32" i="19" s="1"/>
  <c r="E36" i="34"/>
  <c r="G36" i="34" s="1"/>
  <c r="H26" i="22"/>
  <c r="H35" i="22" s="1"/>
  <c r="H37" i="14"/>
  <c r="J22" i="14"/>
  <c r="J32" i="14" s="1"/>
  <c r="J35" i="14" s="1"/>
  <c r="J37" i="14" s="1"/>
  <c r="I11" i="28"/>
  <c r="H38" i="37"/>
  <c r="H40" i="37" s="1"/>
  <c r="K15" i="37"/>
  <c r="J20" i="37"/>
  <c r="J19" i="37"/>
  <c r="J21" i="37"/>
  <c r="J24" i="37"/>
  <c r="J22" i="37"/>
  <c r="I25" i="37"/>
  <c r="I26" i="37" s="1"/>
  <c r="I35" i="37" s="1"/>
  <c r="I23" i="37"/>
  <c r="H38" i="22"/>
  <c r="H40" i="22" s="1"/>
  <c r="I9" i="28"/>
  <c r="G38" i="22"/>
  <c r="G40" i="22" s="1"/>
  <c r="H9" i="28"/>
  <c r="H12" i="28" s="1"/>
  <c r="H34" i="28" s="1"/>
  <c r="H39" i="28" s="1"/>
  <c r="H40" i="28" s="1"/>
  <c r="K73" i="20"/>
  <c r="K74" i="20"/>
  <c r="I32" i="14"/>
  <c r="I35" i="14" s="1"/>
  <c r="I37" i="14" s="1"/>
  <c r="J7" i="28"/>
  <c r="I36" i="26"/>
  <c r="I38" i="26" s="1"/>
  <c r="J22" i="26"/>
  <c r="J33" i="26" s="1"/>
  <c r="K21" i="14"/>
  <c r="K20" i="14"/>
  <c r="M16" i="37"/>
  <c r="J103" i="18"/>
  <c r="J105" i="18" s="1"/>
  <c r="K89" i="18"/>
  <c r="K90" i="18" s="1"/>
  <c r="K100" i="18" s="1"/>
  <c r="L10" i="28" s="1"/>
  <c r="M33" i="18"/>
  <c r="M77" i="18" s="1"/>
  <c r="M83" i="18" s="1"/>
  <c r="L77" i="18"/>
  <c r="L83" i="18" s="1"/>
  <c r="J24" i="22"/>
  <c r="J23" i="22"/>
  <c r="J20" i="22"/>
  <c r="J21" i="22"/>
  <c r="I25" i="22"/>
  <c r="I22" i="22"/>
  <c r="K15" i="22"/>
  <c r="J19" i="22"/>
  <c r="J72" i="20"/>
  <c r="J71" i="20"/>
  <c r="J23" i="20"/>
  <c r="J24" i="20"/>
  <c r="J17" i="20"/>
  <c r="I76" i="20"/>
  <c r="I85" i="20" s="1"/>
  <c r="I88" i="20" s="1"/>
  <c r="I90" i="20" s="1"/>
  <c r="M63" i="20"/>
  <c r="K69" i="20"/>
  <c r="L66" i="20"/>
  <c r="L74" i="20" s="1"/>
  <c r="K75" i="20"/>
  <c r="K70" i="20"/>
  <c r="G37" i="20"/>
  <c r="G39" i="20" s="1"/>
  <c r="H25" i="20"/>
  <c r="H34" i="20" s="1"/>
  <c r="I8" i="28" s="1"/>
  <c r="I20" i="20"/>
  <c r="I21" i="20"/>
  <c r="I19" i="20"/>
  <c r="K14" i="20"/>
  <c r="J18" i="20"/>
  <c r="J22" i="20"/>
  <c r="M10" i="20"/>
  <c r="K20" i="26"/>
  <c r="K21" i="26"/>
  <c r="K19" i="26"/>
  <c r="L13" i="26"/>
  <c r="L18" i="26" s="1"/>
  <c r="L21" i="26" s="1"/>
  <c r="M14" i="14"/>
  <c r="M18" i="14" s="1"/>
  <c r="L18" i="14"/>
  <c r="M15" i="14"/>
  <c r="M19" i="14" s="1"/>
  <c r="L19" i="14"/>
  <c r="L23" i="28" l="1"/>
  <c r="L30" i="28" s="1"/>
  <c r="L29" i="28"/>
  <c r="L38" i="28" s="1"/>
  <c r="L31" i="28"/>
  <c r="N16" i="28"/>
  <c r="M33" i="19"/>
  <c r="M16" i="28"/>
  <c r="L33" i="19"/>
  <c r="K5" i="28"/>
  <c r="K22" i="14"/>
  <c r="L5" i="28" s="1"/>
  <c r="J11" i="28"/>
  <c r="I38" i="37"/>
  <c r="I40" i="37"/>
  <c r="K22" i="37"/>
  <c r="K24" i="37"/>
  <c r="K21" i="37"/>
  <c r="L15" i="37"/>
  <c r="K20" i="37"/>
  <c r="K19" i="37"/>
  <c r="J25" i="37"/>
  <c r="J23" i="37"/>
  <c r="J26" i="37" s="1"/>
  <c r="J35" i="37" s="1"/>
  <c r="I12" i="28"/>
  <c r="I34" i="28" s="1"/>
  <c r="I39" i="28" s="1"/>
  <c r="I40" i="28" s="1"/>
  <c r="K7" i="28"/>
  <c r="J36" i="26"/>
  <c r="J38" i="26" s="1"/>
  <c r="M21" i="14"/>
  <c r="M20" i="14"/>
  <c r="L21" i="14"/>
  <c r="L20" i="14"/>
  <c r="K103" i="18"/>
  <c r="K105" i="18" s="1"/>
  <c r="M89" i="18"/>
  <c r="M90" i="18" s="1"/>
  <c r="M100" i="18" s="1"/>
  <c r="N10" i="28" s="1"/>
  <c r="L89" i="18"/>
  <c r="L90" i="18" s="1"/>
  <c r="L100" i="18" s="1"/>
  <c r="M10" i="28" s="1"/>
  <c r="K24" i="22"/>
  <c r="K23" i="22"/>
  <c r="K20" i="22"/>
  <c r="K21" i="22"/>
  <c r="I26" i="22"/>
  <c r="I35" i="22" s="1"/>
  <c r="J9" i="28" s="1"/>
  <c r="J25" i="22"/>
  <c r="J22" i="22"/>
  <c r="L15" i="22"/>
  <c r="K19" i="22"/>
  <c r="K72" i="20"/>
  <c r="K71" i="20"/>
  <c r="K23" i="20"/>
  <c r="K24" i="20"/>
  <c r="K17" i="20"/>
  <c r="J76" i="20"/>
  <c r="J85" i="20" s="1"/>
  <c r="J88" i="20" s="1"/>
  <c r="J90" i="20" s="1"/>
  <c r="M66" i="20"/>
  <c r="L69" i="20"/>
  <c r="L75" i="20"/>
  <c r="L70" i="20"/>
  <c r="L73" i="20"/>
  <c r="I25" i="20"/>
  <c r="I34" i="20" s="1"/>
  <c r="J8" i="28" s="1"/>
  <c r="H37" i="20"/>
  <c r="H39" i="20" s="1"/>
  <c r="J21" i="20"/>
  <c r="J20" i="20"/>
  <c r="J19" i="20"/>
  <c r="L14" i="20"/>
  <c r="K22" i="20"/>
  <c r="K18" i="20"/>
  <c r="K22" i="26"/>
  <c r="K33" i="26" s="1"/>
  <c r="L20" i="26"/>
  <c r="L19" i="26"/>
  <c r="M13" i="26"/>
  <c r="M18" i="26" s="1"/>
  <c r="M22" i="14" l="1"/>
  <c r="F7" i="34"/>
  <c r="E75" i="28"/>
  <c r="E82" i="28" s="1"/>
  <c r="E99" i="28" s="1"/>
  <c r="M23" i="28"/>
  <c r="M31" i="28" s="1"/>
  <c r="M29" i="28"/>
  <c r="M38" i="28" s="1"/>
  <c r="M30" i="28"/>
  <c r="N23" i="28"/>
  <c r="N30" i="28" s="1"/>
  <c r="N31" i="28"/>
  <c r="C35" i="19"/>
  <c r="C34" i="19"/>
  <c r="L22" i="14"/>
  <c r="L32" i="14" s="1"/>
  <c r="L35" i="14" s="1"/>
  <c r="L37" i="14" s="1"/>
  <c r="K32" i="14"/>
  <c r="K35" i="14" s="1"/>
  <c r="K37" i="14" s="1"/>
  <c r="J12" i="28"/>
  <c r="J34" i="28" s="1"/>
  <c r="J39" i="28" s="1"/>
  <c r="J40" i="28" s="1"/>
  <c r="J38" i="37"/>
  <c r="K11" i="28"/>
  <c r="J40" i="37"/>
  <c r="K25" i="37"/>
  <c r="K23" i="37"/>
  <c r="K26" i="37" s="1"/>
  <c r="K35" i="37" s="1"/>
  <c r="M15" i="37"/>
  <c r="L20" i="37"/>
  <c r="L21" i="37"/>
  <c r="L24" i="37"/>
  <c r="L19" i="37"/>
  <c r="L22" i="37"/>
  <c r="M73" i="20"/>
  <c r="M74" i="20"/>
  <c r="L7" i="28"/>
  <c r="K36" i="26"/>
  <c r="K38" i="26" s="1"/>
  <c r="N5" i="28"/>
  <c r="M32" i="14"/>
  <c r="M35" i="14" s="1"/>
  <c r="I37" i="20"/>
  <c r="I39" i="20" s="1"/>
  <c r="L103" i="18"/>
  <c r="L105" i="18" s="1"/>
  <c r="M103" i="18"/>
  <c r="M101" i="18"/>
  <c r="M102" i="18" s="1"/>
  <c r="I38" i="22"/>
  <c r="I40" i="22" s="1"/>
  <c r="L24" i="22"/>
  <c r="L23" i="22"/>
  <c r="L20" i="22"/>
  <c r="L21" i="22"/>
  <c r="J26" i="22"/>
  <c r="J35" i="22" s="1"/>
  <c r="K9" i="28" s="1"/>
  <c r="K25" i="22"/>
  <c r="K22" i="22"/>
  <c r="M15" i="22"/>
  <c r="L19" i="22"/>
  <c r="L71" i="20"/>
  <c r="L72" i="20"/>
  <c r="L23" i="20"/>
  <c r="L17" i="20"/>
  <c r="L24" i="20"/>
  <c r="K76" i="20"/>
  <c r="K85" i="20" s="1"/>
  <c r="K88" i="20" s="1"/>
  <c r="K90" i="20" s="1"/>
  <c r="M75" i="20"/>
  <c r="M70" i="20"/>
  <c r="M69" i="20"/>
  <c r="J25" i="20"/>
  <c r="J34" i="20" s="1"/>
  <c r="K8" i="28" s="1"/>
  <c r="K19" i="20"/>
  <c r="K20" i="20"/>
  <c r="K21" i="20"/>
  <c r="M14" i="20"/>
  <c r="L18" i="20"/>
  <c r="L22" i="20"/>
  <c r="L22" i="26"/>
  <c r="L33" i="26" s="1"/>
  <c r="M20" i="26"/>
  <c r="M21" i="26"/>
  <c r="M19" i="26"/>
  <c r="M5" i="28" l="1"/>
  <c r="N29" i="28"/>
  <c r="N38" i="28" s="1"/>
  <c r="F37" i="34"/>
  <c r="G37" i="34" s="1"/>
  <c r="M22" i="26"/>
  <c r="M33" i="26" s="1"/>
  <c r="M33" i="14"/>
  <c r="M34" i="14" s="1"/>
  <c r="M37" i="14" s="1"/>
  <c r="L11" i="28"/>
  <c r="K38" i="37"/>
  <c r="K40" i="37" s="1"/>
  <c r="M20" i="37"/>
  <c r="M24" i="37"/>
  <c r="M19" i="37"/>
  <c r="M22" i="37"/>
  <c r="M21" i="37"/>
  <c r="L25" i="37"/>
  <c r="L23" i="37"/>
  <c r="L26" i="37" s="1"/>
  <c r="L35" i="37" s="1"/>
  <c r="K12" i="28"/>
  <c r="K34" i="28" s="1"/>
  <c r="K39" i="28" s="1"/>
  <c r="K40" i="28" s="1"/>
  <c r="M7" i="28"/>
  <c r="L36" i="26"/>
  <c r="L38" i="26" s="1"/>
  <c r="J37" i="20"/>
  <c r="J39" i="20" s="1"/>
  <c r="M105" i="18"/>
  <c r="J38" i="22"/>
  <c r="J40" i="22" s="1"/>
  <c r="M23" i="22"/>
  <c r="M24" i="22"/>
  <c r="M20" i="22"/>
  <c r="M21" i="22"/>
  <c r="K26" i="22"/>
  <c r="K35" i="22" s="1"/>
  <c r="L9" i="28" s="1"/>
  <c r="L25" i="22"/>
  <c r="L22" i="22"/>
  <c r="M19" i="22"/>
  <c r="D22" i="34"/>
  <c r="H31" i="34"/>
  <c r="M71" i="20"/>
  <c r="M72" i="20"/>
  <c r="M23" i="20"/>
  <c r="M17" i="20"/>
  <c r="M24" i="20"/>
  <c r="L76" i="20"/>
  <c r="L85" i="20" s="1"/>
  <c r="K25" i="20"/>
  <c r="K34" i="20" s="1"/>
  <c r="L8" i="28" s="1"/>
  <c r="M18" i="20"/>
  <c r="M22" i="20"/>
  <c r="L20" i="20"/>
  <c r="L21" i="20"/>
  <c r="L19" i="20"/>
  <c r="L12" i="28" l="1"/>
  <c r="L34" i="28" s="1"/>
  <c r="L39" i="28" s="1"/>
  <c r="L40" i="28" s="1"/>
  <c r="M11" i="28"/>
  <c r="L38" i="37"/>
  <c r="L40" i="37"/>
  <c r="M25" i="37"/>
  <c r="M23" i="37"/>
  <c r="B106" i="18"/>
  <c r="B107" i="18"/>
  <c r="J87" i="28"/>
  <c r="J41" i="28"/>
  <c r="J43" i="28" s="1"/>
  <c r="I41" i="28"/>
  <c r="I43" i="28" s="1"/>
  <c r="M34" i="26"/>
  <c r="M35" i="26" s="1"/>
  <c r="M36" i="26"/>
  <c r="N7" i="28"/>
  <c r="K37" i="20"/>
  <c r="K39" i="20" s="1"/>
  <c r="K38" i="22"/>
  <c r="K40" i="22" s="1"/>
  <c r="L26" i="22"/>
  <c r="L35" i="22" s="1"/>
  <c r="M25" i="22"/>
  <c r="M22" i="22"/>
  <c r="H36" i="34"/>
  <c r="K41" i="28" s="1"/>
  <c r="K43" i="28" s="1"/>
  <c r="G31" i="34"/>
  <c r="M76" i="20"/>
  <c r="M85" i="20" s="1"/>
  <c r="M88" i="20" s="1"/>
  <c r="L88" i="20"/>
  <c r="L90" i="20" s="1"/>
  <c r="L25" i="20"/>
  <c r="L34" i="20" s="1"/>
  <c r="M8" i="28" s="1"/>
  <c r="M21" i="20"/>
  <c r="M20" i="20"/>
  <c r="M19" i="20"/>
  <c r="B39" i="14"/>
  <c r="B38" i="14"/>
  <c r="M38" i="26" l="1"/>
  <c r="B39" i="26" s="1"/>
  <c r="M26" i="37"/>
  <c r="M35" i="37" s="1"/>
  <c r="L38" i="22"/>
  <c r="L40" i="22" s="1"/>
  <c r="M9" i="28"/>
  <c r="M12" i="28" s="1"/>
  <c r="M34" i="28" s="1"/>
  <c r="M39" i="28" s="1"/>
  <c r="M40" i="28" s="1"/>
  <c r="M41" i="28"/>
  <c r="N41" i="28"/>
  <c r="E41" i="28"/>
  <c r="F41" i="28" s="1"/>
  <c r="F43" i="28" s="1"/>
  <c r="L41" i="28"/>
  <c r="L43" i="28" s="1"/>
  <c r="L37" i="20"/>
  <c r="L39" i="20" s="1"/>
  <c r="M26" i="22"/>
  <c r="M35" i="22" s="1"/>
  <c r="N9" i="28" s="1"/>
  <c r="H37" i="34"/>
  <c r="M86" i="20"/>
  <c r="M25" i="20"/>
  <c r="M34" i="20" s="1"/>
  <c r="N8" i="28" s="1"/>
  <c r="B38" i="26" l="1"/>
  <c r="N11" i="28"/>
  <c r="N12" i="28" s="1"/>
  <c r="N34" i="28" s="1"/>
  <c r="M38" i="37"/>
  <c r="M36" i="37"/>
  <c r="M37" i="37" s="1"/>
  <c r="M43" i="28"/>
  <c r="M87" i="20"/>
  <c r="M90" i="20" s="1"/>
  <c r="B92" i="20" s="1"/>
  <c r="G41" i="28"/>
  <c r="G43" i="28" s="1"/>
  <c r="M37" i="20"/>
  <c r="M36" i="22"/>
  <c r="M37" i="22" s="1"/>
  <c r="M38" i="22"/>
  <c r="D9" i="34"/>
  <c r="M35" i="20"/>
  <c r="M36" i="20" s="1"/>
  <c r="M40" i="37" l="1"/>
  <c r="B41" i="37" s="1"/>
  <c r="N35" i="28"/>
  <c r="K47" i="28" s="1"/>
  <c r="D14" i="34"/>
  <c r="D8" i="34" s="1"/>
  <c r="D28" i="28" s="1"/>
  <c r="D31" i="28" s="1"/>
  <c r="M40" i="22"/>
  <c r="D13" i="34"/>
  <c r="B91" i="20"/>
  <c r="M39" i="20"/>
  <c r="B42" i="37" l="1"/>
  <c r="N37" i="28"/>
  <c r="N39" i="28" s="1"/>
  <c r="N40" i="28" s="1"/>
  <c r="N43" i="28" s="1"/>
  <c r="B42" i="22"/>
  <c r="B41" i="22"/>
  <c r="C36" i="28"/>
  <c r="J81" i="28"/>
  <c r="D29" i="28"/>
  <c r="D38" i="28" s="1"/>
  <c r="D39" i="28" s="1"/>
  <c r="D40" i="28" s="1"/>
  <c r="D12" i="34"/>
  <c r="D15" i="34" s="1"/>
  <c r="J80" i="28"/>
  <c r="B40" i="20"/>
  <c r="B41" i="20"/>
  <c r="S19" i="41" l="1"/>
  <c r="T19" i="41"/>
  <c r="T20" i="41"/>
  <c r="S20" i="41"/>
  <c r="D44" i="28"/>
  <c r="D46" i="28"/>
  <c r="D23" i="34"/>
  <c r="F15" i="34" s="1"/>
  <c r="E43" i="28"/>
  <c r="T24" i="41" l="1"/>
  <c r="F20" i="34"/>
  <c r="F23" i="34"/>
  <c r="F18" i="34"/>
  <c r="F19" i="34"/>
  <c r="F21" i="34"/>
  <c r="F22" i="34"/>
  <c r="F13" i="34"/>
  <c r="F14" i="34"/>
  <c r="D17" i="34"/>
  <c r="D16" i="34"/>
  <c r="F16" i="34" s="1"/>
  <c r="F17" i="34" l="1"/>
  <c r="D42" i="28"/>
  <c r="J74" i="28"/>
  <c r="D41" i="34"/>
  <c r="H41" i="34" s="1"/>
  <c r="H41" i="28" s="1"/>
  <c r="H43" i="28" s="1"/>
  <c r="D47" i="28" s="1"/>
  <c r="J75" i="28"/>
  <c r="D43" i="28"/>
  <c r="S17" i="41" l="1"/>
  <c r="S24" i="41" s="1"/>
  <c r="S18" i="41"/>
  <c r="J92" i="28"/>
  <c r="L89" i="28" l="1"/>
  <c r="L88" i="28"/>
  <c r="L74" i="28"/>
  <c r="L80" i="28"/>
  <c r="L76" i="28"/>
  <c r="L87" i="28"/>
  <c r="L81" i="28"/>
  <c r="L75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tc={6EA7B590-8B89-4FCB-B986-6019C110223C}</author>
  </authors>
  <commentList>
    <comment ref="N1" authorId="0" shapeId="0" xr:uid="{6EA7B590-8B89-4FCB-B986-6019C110223C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tc={63516C7A-D723-4C98-8E0A-33E0E818A902}</author>
  </authors>
  <commentList>
    <comment ref="M2" authorId="0" shapeId="0" xr:uid="{63516C7A-D723-4C98-8E0A-33E0E818A902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tc={C832E0B4-08DC-433F-8A3E-370882F51C04}</author>
  </authors>
  <commentList>
    <comment ref="M1" authorId="0" shapeId="0" xr:uid="{C832E0B4-08DC-433F-8A3E-370882F51C04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tc={05F0CC0A-6472-4896-B8C4-77CE23E41FBF}</author>
  </authors>
  <commentList>
    <comment ref="M2" authorId="0" shapeId="0" xr:uid="{05F0CC0A-6472-4896-B8C4-77CE23E41FBF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tc={7337BE65-12C9-4E2F-99E7-949D5C449DD3}</author>
  </authors>
  <commentList>
    <comment ref="M2" authorId="0" shapeId="0" xr:uid="{7337BE65-12C9-4E2F-99E7-949D5C449DD3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tc={729ACFC6-97FD-4063-9B10-D09FFDE32B6F}</author>
  </authors>
  <commentList>
    <comment ref="M2" authorId="0" shapeId="0" xr:uid="{729ACFC6-97FD-4063-9B10-D09FFDE32B6F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tc={BBA01384-BDA7-4112-8C5E-D457C1E41ECC}</author>
    <author>tc={F6BF64D8-5B77-40EF-9DEB-E9A9090E9657}</author>
  </authors>
  <commentList>
    <comment ref="M2" authorId="0" shapeId="0" xr:uid="{BBA01384-BDA7-4112-8C5E-D457C1E41ECC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  <comment ref="M54" authorId="1" shapeId="0" xr:uid="{F6BF64D8-5B77-40EF-9DEB-E9A9090E9657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tc={021A0BBF-97DF-4A05-B921-77B0AB787D72}</author>
  </authors>
  <commentList>
    <comment ref="M1" authorId="0" shapeId="0" xr:uid="{021A0BBF-97DF-4A05-B921-77B0AB787D72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tc={D8C5E5E9-4EC4-4D59-BB9C-7F63D6F00072}</author>
  </authors>
  <commentList>
    <comment ref="M2" authorId="0" shapeId="0" xr:uid="{D8C5E5E9-4EC4-4D59-BB9C-7F63D6F00072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tc={B8317A52-0318-4B5C-A8BC-675B3C1DB90E}</author>
  </authors>
  <commentList>
    <comment ref="M1" authorId="0" shapeId="0" xr:uid="{B8317A52-0318-4B5C-A8BC-675B3C1DB90E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tc={0F40D614-7EBF-4EF3-9E30-5AC443627312}</author>
  </authors>
  <commentList>
    <comment ref="M2" authorId="0" shapeId="0" xr:uid="{0F40D614-7EBF-4EF3-9E30-5AC443627312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Team Code and then erase this comment. You can also add your team code by editing Page Layout &gt; Print Tiles &gt; Header.</t>
        </r>
      </text>
    </comment>
  </commentList>
</comments>
</file>

<file path=xl/sharedStrings.xml><?xml version="1.0" encoding="utf-8"?>
<sst xmlns="http://schemas.openxmlformats.org/spreadsheetml/2006/main" count="2777" uniqueCount="674">
  <si>
    <t>Summary Pro Forma</t>
  </si>
  <si>
    <t>Team</t>
  </si>
  <si>
    <t>Year 0</t>
  </si>
  <si>
    <t>Phase I</t>
  </si>
  <si>
    <t>2021-2022</t>
  </si>
  <si>
    <t xml:space="preserve">Net Operating Income </t>
  </si>
  <si>
    <t>Market-rate</t>
  </si>
  <si>
    <t>Rental Housing</t>
  </si>
  <si>
    <t>For-Sale Housing</t>
  </si>
  <si>
    <t>Affordable</t>
  </si>
  <si>
    <t>Office/Commercial</t>
  </si>
  <si>
    <t>Market-rate Retail</t>
  </si>
  <si>
    <t>Underground Parking</t>
  </si>
  <si>
    <t>Other</t>
  </si>
  <si>
    <t>Total Net Operating Income</t>
  </si>
  <si>
    <t>Development Costs</t>
  </si>
  <si>
    <t>Retail (ALL)</t>
  </si>
  <si>
    <t>Land Acquisition</t>
  </si>
  <si>
    <t>Total Infrastructure</t>
  </si>
  <si>
    <t>Total Development Costs</t>
  </si>
  <si>
    <t>Annual Cash Flow</t>
  </si>
  <si>
    <t>Net Operating Income</t>
  </si>
  <si>
    <t xml:space="preserve">Total Asset Value </t>
  </si>
  <si>
    <t>Total Costs of Sale</t>
  </si>
  <si>
    <t>Net Cash Flow</t>
  </si>
  <si>
    <t>Leveraged Net Cash Flow</t>
  </si>
  <si>
    <t>Debt Service</t>
  </si>
  <si>
    <t>Net Present Value</t>
  </si>
  <si>
    <t>Loan to Value Ratio (LVR)</t>
  </si>
  <si>
    <t>Unleveraged IRR Before Taxes</t>
  </si>
  <si>
    <t>Current Site Value (start of Year 0)</t>
  </si>
  <si>
    <t>Leveraged IRR Before Taxes</t>
  </si>
  <si>
    <t>Projected Site Value (end of Year 10)</t>
  </si>
  <si>
    <t>2. Multiyear Development Program</t>
  </si>
  <si>
    <t>Total Buildout</t>
  </si>
  <si>
    <t>Project Buildout by Development Units</t>
  </si>
  <si>
    <t>(units)</t>
  </si>
  <si>
    <t>(spaces)</t>
  </si>
  <si>
    <t>Project Buildout by Area</t>
  </si>
  <si>
    <t>(s.f.)</t>
  </si>
  <si>
    <t>Total</t>
  </si>
  <si>
    <t>3. Unit Development and Infrastructure Costs</t>
  </si>
  <si>
    <t>4. Equity and Financing Sources</t>
  </si>
  <si>
    <t>Unit Cost</t>
  </si>
  <si>
    <t>Total Costs</t>
  </si>
  <si>
    <t>Amount</t>
  </si>
  <si>
    <t>Percent of Total</t>
  </si>
  <si>
    <t>($ per unit)</t>
  </si>
  <si>
    <t>Equity Sources (total)</t>
  </si>
  <si>
    <t>($ per s.f.)</t>
  </si>
  <si>
    <t>Financing Sources (total)</t>
  </si>
  <si>
    <t>($ per space)</t>
  </si>
  <si>
    <t>Infrastructure Costs</t>
  </si>
  <si>
    <t>Public</t>
  </si>
  <si>
    <t>Private</t>
  </si>
  <si>
    <t>Public Subsidies (total, if any)</t>
  </si>
  <si>
    <t>Acquisition Taxes and Fees</t>
  </si>
  <si>
    <t>Total Infrastructure Costs</t>
  </si>
  <si>
    <t>factors</t>
  </si>
  <si>
    <t>Inflation Factor</t>
  </si>
  <si>
    <t xml:space="preserve">Commercial Infrastructure </t>
  </si>
  <si>
    <t>Retail</t>
  </si>
  <si>
    <t>Subtotal</t>
  </si>
  <si>
    <t xml:space="preserve">Other Infrastructure </t>
  </si>
  <si>
    <t>Park/Landscaping</t>
  </si>
  <si>
    <t xml:space="preserve">Total Infrastructure Costs </t>
  </si>
  <si>
    <t>Net Present Value of Costs</t>
  </si>
  <si>
    <t>Revenue Assumptions</t>
  </si>
  <si>
    <t>Projected Unit Absorption</t>
  </si>
  <si>
    <t>Average Unit Size</t>
  </si>
  <si>
    <t>Net Rentable Area</t>
  </si>
  <si>
    <t>Monthly Rent per s.f.</t>
  </si>
  <si>
    <t>Occupancy Factor</t>
  </si>
  <si>
    <t>Gross Lease Revenues</t>
  </si>
  <si>
    <t>Annual Operating Expenses per s.f.</t>
  </si>
  <si>
    <t>Percent Built by Year</t>
  </si>
  <si>
    <t>Asset Value</t>
  </si>
  <si>
    <t>Costs of Sale</t>
  </si>
  <si>
    <t>Assumptions</t>
  </si>
  <si>
    <t>Number of Units Built</t>
  </si>
  <si>
    <t>Number of Units Sold</t>
  </si>
  <si>
    <t>Net Usable Area</t>
  </si>
  <si>
    <t>Sale Price per s.f.</t>
  </si>
  <si>
    <t>Sale Revenues</t>
  </si>
  <si>
    <t>Builder Profit</t>
  </si>
  <si>
    <t>Cost of Sales</t>
  </si>
  <si>
    <t>Equity</t>
  </si>
  <si>
    <t>GLA Absorbed</t>
  </si>
  <si>
    <t>Vacancy Factor</t>
  </si>
  <si>
    <t>Leasing Revenues</t>
  </si>
  <si>
    <t>Number of Units</t>
  </si>
  <si>
    <t>Net Lease Revenue per s.f.</t>
  </si>
  <si>
    <t>Rooms Completed</t>
  </si>
  <si>
    <t>Average Daily Room Rate</t>
  </si>
  <si>
    <t>Room Revenues</t>
  </si>
  <si>
    <t>Other Revenues</t>
  </si>
  <si>
    <t>Total Revenues</t>
  </si>
  <si>
    <t>Monthly Fees</t>
  </si>
  <si>
    <t>Monthly Parking Fee</t>
  </si>
  <si>
    <t>Allocation to Monthly Use</t>
  </si>
  <si>
    <t>Percent Occupancy by Monthly Contracts</t>
  </si>
  <si>
    <t>Hourly Fees</t>
  </si>
  <si>
    <t>Number of Spaces</t>
  </si>
  <si>
    <t>Nonwork Days</t>
  </si>
  <si>
    <t>Daily Parking Hours</t>
  </si>
  <si>
    <t>Percent Utilization</t>
  </si>
  <si>
    <t>Work Days</t>
  </si>
  <si>
    <t>Hourly Parking Rate</t>
  </si>
  <si>
    <t>Expenses</t>
  </si>
  <si>
    <t>Operating Expenses (Percent of Gross Revenue)</t>
  </si>
  <si>
    <t>Parking Revenue</t>
  </si>
  <si>
    <t>Monthly Parking</t>
  </si>
  <si>
    <t>Hourly Parking</t>
  </si>
  <si>
    <t>Total Parking Revenue</t>
  </si>
  <si>
    <t>Surface Parking Spaces</t>
  </si>
  <si>
    <t>Phase 1 A</t>
  </si>
  <si>
    <t>Phase 1 B</t>
  </si>
  <si>
    <t>Phase 2</t>
  </si>
  <si>
    <t>Soft Costs</t>
  </si>
  <si>
    <t>TEAM :2021-1920</t>
  </si>
  <si>
    <t>Site Division</t>
  </si>
  <si>
    <t>Plot Numbers</t>
  </si>
  <si>
    <t>Block Numbers</t>
  </si>
  <si>
    <t>Plot Area (Sf)</t>
  </si>
  <si>
    <t>Building Footprint (Sf)</t>
  </si>
  <si>
    <t>Building Footprint (% of Total)</t>
  </si>
  <si>
    <t>Setback (% of Total)</t>
  </si>
  <si>
    <t>Setback (Sf)</t>
  </si>
  <si>
    <t>Open space (sf)</t>
  </si>
  <si>
    <t>Open space (% of Total)</t>
  </si>
  <si>
    <t>Phasing</t>
  </si>
  <si>
    <t>1,3,4,5</t>
  </si>
  <si>
    <t>BLOCK A</t>
  </si>
  <si>
    <t>BLOCK B</t>
  </si>
  <si>
    <t>7,8</t>
  </si>
  <si>
    <t>BLOCK C</t>
  </si>
  <si>
    <t>12,13,14,15,20</t>
  </si>
  <si>
    <t>BLOCK D</t>
  </si>
  <si>
    <t>BLOCK E</t>
  </si>
  <si>
    <t>21,22,23,24</t>
  </si>
  <si>
    <t>BLOCK F</t>
  </si>
  <si>
    <t>9,10,11,17,18,19</t>
  </si>
  <si>
    <t>BLOCK G</t>
  </si>
  <si>
    <t>1B</t>
  </si>
  <si>
    <t>1A</t>
  </si>
  <si>
    <t>Valuation</t>
  </si>
  <si>
    <t>TOTAL</t>
  </si>
  <si>
    <t>Road</t>
  </si>
  <si>
    <t>805 CHERRY ST / 807 CHERRY ST</t>
  </si>
  <si>
    <t>701 E 8TH ST</t>
  </si>
  <si>
    <t>815 CHERRY ST</t>
  </si>
  <si>
    <t>606 E 9th ST / 817 CHERRY ST</t>
  </si>
  <si>
    <t>610 E 9TH ST</t>
  </si>
  <si>
    <t>901 CHERRY ST / 921 CHERRY ST</t>
  </si>
  <si>
    <t>929 HOLMES ST</t>
  </si>
  <si>
    <t>Building per plot</t>
  </si>
  <si>
    <t>Demolition Area</t>
  </si>
  <si>
    <t>Construction</t>
  </si>
  <si>
    <t>Areas in SF</t>
  </si>
  <si>
    <t>Total Residential Gross Floor Area</t>
  </si>
  <si>
    <t>Total Commercial Gross Floor Area</t>
  </si>
  <si>
    <t>Total Parking Area</t>
  </si>
  <si>
    <t xml:space="preserve">Total Community Devp Gross Floor Area </t>
  </si>
  <si>
    <t>Site Grading</t>
  </si>
  <si>
    <t>Site Preparation</t>
  </si>
  <si>
    <t>Existing Building Demolition</t>
  </si>
  <si>
    <t>Hardscaping (Sidewalk Development)</t>
  </si>
  <si>
    <t>Site Development</t>
  </si>
  <si>
    <t>Open Space Development</t>
  </si>
  <si>
    <t>Green Roof</t>
  </si>
  <si>
    <t>Others</t>
  </si>
  <si>
    <t>Number of Trees</t>
  </si>
  <si>
    <t xml:space="preserve">Exsiting Building Demolition </t>
  </si>
  <si>
    <t xml:space="preserve">Road Demolition </t>
  </si>
  <si>
    <t>Site Demolition</t>
  </si>
  <si>
    <t>Cost Assumptions</t>
  </si>
  <si>
    <t>Infrastructure Cost</t>
  </si>
  <si>
    <t xml:space="preserve">Site Demolition </t>
  </si>
  <si>
    <t>$ per SF</t>
  </si>
  <si>
    <t>Tree Installation</t>
  </si>
  <si>
    <t>$ per Tree</t>
  </si>
  <si>
    <t xml:space="preserve">Sidewalk Construction </t>
  </si>
  <si>
    <t xml:space="preserve">Amphitheatre Construction </t>
  </si>
  <si>
    <t>Softscape (Landscaping)</t>
  </si>
  <si>
    <t>Bridge Construction</t>
  </si>
  <si>
    <t>Landmarks and Environmental Installation</t>
  </si>
  <si>
    <t># per Installation</t>
  </si>
  <si>
    <t>Phase 1B</t>
  </si>
  <si>
    <t>Land Acquisition Costs</t>
  </si>
  <si>
    <t>Liberty Bank, MCED, LIHTC</t>
  </si>
  <si>
    <t>Demolition Costs</t>
  </si>
  <si>
    <t>Construction Costs</t>
  </si>
  <si>
    <t>Liberty Bank Construction Loan</t>
  </si>
  <si>
    <t>Loan Fee (1.00%)</t>
  </si>
  <si>
    <t>Downpayment</t>
  </si>
  <si>
    <t>5-20%</t>
  </si>
  <si>
    <t>Term</t>
  </si>
  <si>
    <t>10-20 Years</t>
  </si>
  <si>
    <t>Interest Rate</t>
  </si>
  <si>
    <t>Financing</t>
  </si>
  <si>
    <t>% of total Loan</t>
  </si>
  <si>
    <t>% of total Finance</t>
  </si>
  <si>
    <t>Construction Loans</t>
  </si>
  <si>
    <t>MCED</t>
  </si>
  <si>
    <t>PACE Financing from MSED @ 5% Interest Rate for 100% of Loan for 10 Years</t>
  </si>
  <si>
    <t>PACE Financing</t>
  </si>
  <si>
    <t>Liberty Bank Construction Loan @ 4% Interest Rate for 65% Leverage for 10 Years</t>
  </si>
  <si>
    <t>Equity Contribution</t>
  </si>
  <si>
    <t>Inerest Rate</t>
  </si>
  <si>
    <t>Joint Venture Investor Equity @6.5% for 10 years</t>
  </si>
  <si>
    <t>Property Value Increase at Cap rate</t>
  </si>
  <si>
    <t>Developer's Equity</t>
  </si>
  <si>
    <t>Land Contribution</t>
  </si>
  <si>
    <t>LIHTC calculation</t>
  </si>
  <si>
    <t>Subsidies</t>
  </si>
  <si>
    <t>Phase II</t>
  </si>
  <si>
    <t>Phase III</t>
  </si>
  <si>
    <t>LIHTC</t>
  </si>
  <si>
    <t>50% Area Median Income for household of 2</t>
  </si>
  <si>
    <t>Total Financing</t>
  </si>
  <si>
    <t>No more than 33% on housing</t>
  </si>
  <si>
    <t>Total Construction Costs</t>
  </si>
  <si>
    <t>Rent per month</t>
  </si>
  <si>
    <t>Eligible Basis</t>
  </si>
  <si>
    <t>Rent must be under:</t>
  </si>
  <si>
    <t>Apllicable Amount</t>
  </si>
  <si>
    <t>Phase 1A</t>
  </si>
  <si>
    <t>Annual Payment</t>
  </si>
  <si>
    <t>After Construction completed</t>
  </si>
  <si>
    <t>Qailified Basis</t>
  </si>
  <si>
    <t xml:space="preserve">PACE Financing from MSED </t>
  </si>
  <si>
    <t>(only Interest)</t>
  </si>
  <si>
    <t>(Interest + capital)</t>
  </si>
  <si>
    <t>Operating Expenses per SF</t>
  </si>
  <si>
    <t>Annual Credit</t>
  </si>
  <si>
    <t>Loan</t>
  </si>
  <si>
    <t>Construction Costs per SF</t>
  </si>
  <si>
    <t>Total Credits for 10 years</t>
  </si>
  <si>
    <t>Rate</t>
  </si>
  <si>
    <t>Soft costs (% of Hard costs)</t>
  </si>
  <si>
    <t>Tax Credit Syndication</t>
  </si>
  <si>
    <t>Year</t>
  </si>
  <si>
    <t>Cap Rate</t>
  </si>
  <si>
    <t>Invester Equity</t>
  </si>
  <si>
    <t>Road Construction</t>
  </si>
  <si>
    <t>General Assumptions</t>
  </si>
  <si>
    <t>Inflation Rate</t>
  </si>
  <si>
    <t>Discount Rate</t>
  </si>
  <si>
    <t>Brokerage Fee</t>
  </si>
  <si>
    <t>Contingency</t>
  </si>
  <si>
    <t>Tax Abatement %</t>
  </si>
  <si>
    <t>Property Tax</t>
  </si>
  <si>
    <t>Builder's Profit</t>
  </si>
  <si>
    <t>Capex Reserve</t>
  </si>
  <si>
    <t>Earning Tax</t>
  </si>
  <si>
    <t>per $100 of assessed valuation</t>
  </si>
  <si>
    <t>Development Summary</t>
  </si>
  <si>
    <t>Phase</t>
  </si>
  <si>
    <t>I</t>
  </si>
  <si>
    <t>II</t>
  </si>
  <si>
    <t>III</t>
  </si>
  <si>
    <t>Block #</t>
  </si>
  <si>
    <t>E,F,G</t>
  </si>
  <si>
    <t>C,D</t>
  </si>
  <si>
    <t>A,B</t>
  </si>
  <si>
    <t>Gross Floor Area</t>
  </si>
  <si>
    <t># of 1 Bedroom</t>
  </si>
  <si>
    <t># of 2 Bedroom</t>
  </si>
  <si>
    <t>Average Rentable Area</t>
  </si>
  <si>
    <t>Average</t>
  </si>
  <si>
    <t>Effeciency</t>
  </si>
  <si>
    <t>Average Rent $/SF/Month</t>
  </si>
  <si>
    <t>Construction Cost</t>
  </si>
  <si>
    <t>Opex per SF</t>
  </si>
  <si>
    <t>Total Built Area</t>
  </si>
  <si>
    <t>Construction Cost per SF</t>
  </si>
  <si>
    <t>Cumulative Built</t>
  </si>
  <si>
    <t>Cumulative Rentable Area</t>
  </si>
  <si>
    <t>Operating Expenses</t>
  </si>
  <si>
    <t>Vacancy Rate</t>
  </si>
  <si>
    <t>Project Absorption</t>
  </si>
  <si>
    <t xml:space="preserve"> Development Costs</t>
  </si>
  <si>
    <t>Opex</t>
  </si>
  <si>
    <t>Development</t>
  </si>
  <si>
    <t># of Studio</t>
  </si>
  <si>
    <t>Average Sale Price per SF</t>
  </si>
  <si>
    <t>Total Units</t>
  </si>
  <si>
    <t>% of Units Sold</t>
  </si>
  <si>
    <t>Area sold</t>
  </si>
  <si>
    <t>Annual Operating Expenses</t>
  </si>
  <si>
    <t>Cumulative Percent Built by Year</t>
  </si>
  <si>
    <t>Cumulative Net Rentable Area</t>
  </si>
  <si>
    <t xml:space="preserve">Lease Type </t>
  </si>
  <si>
    <t>NNN</t>
  </si>
  <si>
    <t>Cam Recovery per SF</t>
  </si>
  <si>
    <t>Lease Term (years)</t>
  </si>
  <si>
    <t>Lease Costs</t>
  </si>
  <si>
    <t>Tenant Improvement</t>
  </si>
  <si>
    <t>Total GFA</t>
  </si>
  <si>
    <t>Shared Space</t>
  </si>
  <si>
    <t>Shared Space GFA</t>
  </si>
  <si>
    <t>Average Rent</t>
  </si>
  <si>
    <t>Operating Expense</t>
  </si>
  <si>
    <t>Marketing Expense</t>
  </si>
  <si>
    <t>Offices</t>
  </si>
  <si>
    <t>Office GFA</t>
  </si>
  <si>
    <t>Operations &amp; Maintenance Expense per s.f.</t>
  </si>
  <si>
    <t>Shared /Coworking Space</t>
  </si>
  <si>
    <t>Average Rent per SF</t>
  </si>
  <si>
    <t>CAM Recovery per SF</t>
  </si>
  <si>
    <t>Operations &amp; Maintenance Expense</t>
  </si>
  <si>
    <t>CAM Recovery</t>
  </si>
  <si>
    <t>Brokerage Fees</t>
  </si>
  <si>
    <t>Tenant Improvements</t>
  </si>
  <si>
    <t>Leasing Commissions</t>
  </si>
  <si>
    <t>Office Space</t>
  </si>
  <si>
    <t>Corporate Office Space</t>
  </si>
  <si>
    <t>Small Shops GFA</t>
  </si>
  <si>
    <t>Box Store GFA</t>
  </si>
  <si>
    <t>Resturants GFA</t>
  </si>
  <si>
    <t>Small Shops</t>
  </si>
  <si>
    <t>Box Store</t>
  </si>
  <si>
    <t>Resturants</t>
  </si>
  <si>
    <t>Institutional</t>
  </si>
  <si>
    <t>Operating Expense per SF</t>
  </si>
  <si>
    <t>Operating &amp; Maintenance Expense</t>
  </si>
  <si>
    <t>Cumulative % built</t>
  </si>
  <si>
    <t>Cost of Sale</t>
  </si>
  <si>
    <t>Demolition Area (sf)</t>
  </si>
  <si>
    <t>SF</t>
  </si>
  <si>
    <t>(Residential Tower)</t>
  </si>
  <si>
    <t>(Community Low Rise)</t>
  </si>
  <si>
    <t>Residential Tower - Residential Part</t>
  </si>
  <si>
    <t>UNITS</t>
  </si>
  <si>
    <t>Studio</t>
  </si>
  <si>
    <t>1 Bedroom</t>
  </si>
  <si>
    <t>2 Bedroom</t>
  </si>
  <si>
    <t>Area &amp; Distribution</t>
  </si>
  <si>
    <t>Distribution</t>
  </si>
  <si>
    <t>%</t>
  </si>
  <si>
    <t xml:space="preserve">GFA Distribution </t>
  </si>
  <si>
    <t xml:space="preserve">Number of Units </t>
  </si>
  <si>
    <t>#</t>
  </si>
  <si>
    <t>Average Unit Gross Floor Area</t>
  </si>
  <si>
    <t>Unit Effeciency</t>
  </si>
  <si>
    <t xml:space="preserve">Average Unit Net Floor Area </t>
  </si>
  <si>
    <t xml:space="preserve">Average Floor Height </t>
  </si>
  <si>
    <t>Feet</t>
  </si>
  <si>
    <t>Income</t>
  </si>
  <si>
    <t>Sale Price per SF</t>
  </si>
  <si>
    <t>per SF</t>
  </si>
  <si>
    <t>Average Unit Sale Price</t>
  </si>
  <si>
    <t>$</t>
  </si>
  <si>
    <t>Average Vacancy Rate</t>
  </si>
  <si>
    <t>Finance</t>
  </si>
  <si>
    <t>Cap Rates</t>
  </si>
  <si>
    <t>Residential Tower - Market Rate Retail Part</t>
  </si>
  <si>
    <t>Small Retail</t>
  </si>
  <si>
    <t>Restaurant</t>
  </si>
  <si>
    <t>Number of units</t>
  </si>
  <si>
    <t>Income / Expense</t>
  </si>
  <si>
    <t>$/SF/Month</t>
  </si>
  <si>
    <t>Community Building</t>
  </si>
  <si>
    <t xml:space="preserve">Net Rentable Area </t>
  </si>
  <si>
    <t>Parking</t>
  </si>
  <si>
    <t xml:space="preserve">Residential </t>
  </si>
  <si>
    <t>Parking Area</t>
  </si>
  <si>
    <t>Parking Space/ Stall</t>
  </si>
  <si>
    <t>No of Parking Stalls</t>
  </si>
  <si>
    <t>No of Visitor Parking Stalls</t>
  </si>
  <si>
    <t>Monthly Rental Fees</t>
  </si>
  <si>
    <t>$ /month</t>
  </si>
  <si>
    <t>(24 Hours, all 7 days)</t>
  </si>
  <si>
    <t>Hourly Rental Fees</t>
  </si>
  <si>
    <t>$ /Hour</t>
  </si>
  <si>
    <t>Occupancy</t>
  </si>
  <si>
    <t>Infrastructure</t>
  </si>
  <si>
    <t>Open space</t>
  </si>
  <si>
    <t>Hardscape area (Side walks, pathways)</t>
  </si>
  <si>
    <t>% of open space</t>
  </si>
  <si>
    <t xml:space="preserve"> (Side walks, pathways)</t>
  </si>
  <si>
    <t>Hardscape area</t>
  </si>
  <si>
    <t>Green Roof area</t>
  </si>
  <si>
    <t>Total Institutional Gross Floor Area</t>
  </si>
  <si>
    <t>Total Office Gross Floor Area</t>
  </si>
  <si>
    <t>Total Parking</t>
  </si>
  <si>
    <t>Office</t>
  </si>
  <si>
    <t>Shared Workspace</t>
  </si>
  <si>
    <t xml:space="preserve">Distribution </t>
  </si>
  <si>
    <t xml:space="preserve">Total Gross Floor Area </t>
  </si>
  <si>
    <t>Office Area per person</t>
  </si>
  <si>
    <t>Net Leasable Area</t>
  </si>
  <si>
    <t>No of units</t>
  </si>
  <si>
    <t>Private Rate Rent</t>
  </si>
  <si>
    <t xml:space="preserve">Community Rate Rent </t>
  </si>
  <si>
    <t>Shuffle Rate Rent</t>
  </si>
  <si>
    <t>Costs of Marketing</t>
  </si>
  <si>
    <t>n/a</t>
  </si>
  <si>
    <t xml:space="preserve"> (Side walks, pathways , amphitheatre)</t>
  </si>
  <si>
    <t xml:space="preserve">Amphitheatre </t>
  </si>
  <si>
    <t>(Inclusive of Hardscape area)</t>
  </si>
  <si>
    <t>Plot Demolition Area (sf)</t>
  </si>
  <si>
    <t>Holmes St Demolition Area</t>
  </si>
  <si>
    <t>(Both Blocks)</t>
  </si>
  <si>
    <t>Total Residential Market Rate GFA</t>
  </si>
  <si>
    <t>Total Residential Affordable GFA</t>
  </si>
  <si>
    <t>Total Retail Gross Floor Area</t>
  </si>
  <si>
    <t>Residential Block</t>
  </si>
  <si>
    <t>Market</t>
  </si>
  <si>
    <t>Operating Expense (Monthly)</t>
  </si>
  <si>
    <t>$ /SF/ Month</t>
  </si>
  <si>
    <t xml:space="preserve">Rent </t>
  </si>
  <si>
    <t>$ / Month</t>
  </si>
  <si>
    <t>$ /SF</t>
  </si>
  <si>
    <t>Ground Floor Retail</t>
  </si>
  <si>
    <t>Small Retails</t>
  </si>
  <si>
    <t>Big Box (NNN)</t>
  </si>
  <si>
    <t>Restaurants</t>
  </si>
  <si>
    <t>Residential</t>
  </si>
  <si>
    <t>Plot Open space</t>
  </si>
  <si>
    <t>(Soft Scape)</t>
  </si>
  <si>
    <t>Holmes St Opens space extension</t>
  </si>
  <si>
    <t>Road Construction area</t>
  </si>
  <si>
    <t>BLOCKD</t>
  </si>
  <si>
    <t>Plot Demolition Area</t>
  </si>
  <si>
    <t>Homes St Demolition Area</t>
  </si>
  <si>
    <t>Both Block</t>
  </si>
  <si>
    <t>Residential Block - Apartments (North)</t>
  </si>
  <si>
    <t>Holmes st Open space</t>
  </si>
  <si>
    <t>(North Block - Apartment)</t>
  </si>
  <si>
    <t>Total Residential Market Rent GFA</t>
  </si>
  <si>
    <t>(South Block - Tower)</t>
  </si>
  <si>
    <t>Residential Tower (South)</t>
  </si>
  <si>
    <t>(Condos)</t>
  </si>
  <si>
    <t>Insitutional</t>
  </si>
  <si>
    <t xml:space="preserve">Residential Tower </t>
  </si>
  <si>
    <t>Visitor Parking Stalls</t>
  </si>
  <si>
    <t>FLOOR TYPE</t>
  </si>
  <si>
    <t>Usage Area</t>
  </si>
  <si>
    <t>Floor Count</t>
  </si>
  <si>
    <t>Floor Height</t>
  </si>
  <si>
    <t>GR (TOTAL)</t>
  </si>
  <si>
    <t>GR (COMM)</t>
  </si>
  <si>
    <t>GR (RESI)</t>
  </si>
  <si>
    <t>RESI - TYP 1</t>
  </si>
  <si>
    <t>RESI - TYP 2</t>
  </si>
  <si>
    <t>RESI - TYP 3 w/ G.G</t>
  </si>
  <si>
    <t>PARKING</t>
  </si>
  <si>
    <t>Remark</t>
  </si>
  <si>
    <t>GR</t>
  </si>
  <si>
    <t>programs are rec center, library, meeting rooms, community services</t>
  </si>
  <si>
    <t>F2</t>
  </si>
  <si>
    <t>F3</t>
  </si>
  <si>
    <t>F4</t>
  </si>
  <si>
    <t>KCMO ARTS AND CULTURE HUB (BLOCK B)</t>
  </si>
  <si>
    <t>INT - TYP1</t>
  </si>
  <si>
    <t>OFFICE - TYP 1</t>
  </si>
  <si>
    <t>OFFICE - TYP 2</t>
  </si>
  <si>
    <t>RESI - TYP 3 w/ G.R</t>
  </si>
  <si>
    <t>BLOCK C Holmes St</t>
  </si>
  <si>
    <t>BLOCK C ROAD</t>
  </si>
  <si>
    <t>BLOCK D ROAD</t>
  </si>
  <si>
    <t>RESI - TYP 2 w/ G.R</t>
  </si>
  <si>
    <t>BLOCK E ROAD</t>
  </si>
  <si>
    <t>REMARKS</t>
  </si>
  <si>
    <t>large anchor shops (eg. 10,000 sqf grocery store, 
3000sqf pharmacy, 3600sqf special)</t>
  </si>
  <si>
    <t>RESI - TYP 2 W/ G.R</t>
  </si>
  <si>
    <t>5000 sqf G.R</t>
  </si>
  <si>
    <t>RESI - TYP 3</t>
  </si>
  <si>
    <t>RESI - TYP 4 w/ G.R</t>
  </si>
  <si>
    <t>6450 sqf G.R</t>
  </si>
  <si>
    <t>Missouri State Tech Medical School Expansion</t>
  </si>
  <si>
    <t>INST</t>
  </si>
  <si>
    <t>COMM</t>
  </si>
  <si>
    <t>Comm all on GR
Retail is small size retail</t>
  </si>
  <si>
    <t>Office on GR + 2F+3F</t>
  </si>
  <si>
    <t>OFFICE - TYP 3</t>
  </si>
  <si>
    <t>small retail</t>
  </si>
  <si>
    <t>OFFICE GR</t>
  </si>
  <si>
    <t>calc. includes offices on GR + 2F</t>
  </si>
  <si>
    <t>OFFICE TYP 1</t>
  </si>
  <si>
    <t>on 3F</t>
  </si>
  <si>
    <t>calc. includes RESI on GR + 2F + 3F</t>
  </si>
  <si>
    <t>Area of G.R</t>
  </si>
  <si>
    <t>PARK, HARDSCAPE INFRASTRUCTURE, AREAS</t>
  </si>
  <si>
    <t>Type</t>
  </si>
  <si>
    <t>Usage (%)</t>
  </si>
  <si>
    <t>Area</t>
  </si>
  <si>
    <t>TOTAL LANDSCAPING</t>
  </si>
  <si>
    <t>HARDSCAPE (total)</t>
  </si>
  <si>
    <t>SOFTSCAPE (total)</t>
  </si>
  <si>
    <t>water rention ponds</t>
  </si>
  <si>
    <t>10% of softscaping</t>
  </si>
  <si>
    <t>playground</t>
  </si>
  <si>
    <t>30% of softscaping</t>
  </si>
  <si>
    <t>sculpture garden</t>
  </si>
  <si>
    <t>33% of softscaping</t>
  </si>
  <si>
    <t>communal garden</t>
  </si>
  <si>
    <t>75% of BLOCK G landscaping</t>
  </si>
  <si>
    <t>ampitheathre</t>
  </si>
  <si>
    <t>50% of BLOCK B hardscaping</t>
  </si>
  <si>
    <t>LANDSCAPE TYPE</t>
  </si>
  <si>
    <t>AREA</t>
  </si>
  <si>
    <t>PLOT DETAILS</t>
  </si>
  <si>
    <t>Operations $ Maintenance Expenses</t>
  </si>
  <si>
    <t>Space per stall (SF)</t>
  </si>
  <si>
    <t>Capex</t>
  </si>
  <si>
    <t>Monthly Parking Allocation</t>
  </si>
  <si>
    <t>Parking GFA</t>
  </si>
  <si>
    <t>Parking Stalls</t>
  </si>
  <si>
    <t>Visitor Parking GFA</t>
  </si>
  <si>
    <t>Visitor Parking stalls</t>
  </si>
  <si>
    <t>Operating Expense / Month</t>
  </si>
  <si>
    <t>Hourly Rental Fees for Visitor Parking</t>
  </si>
  <si>
    <t>Average Occupancy</t>
  </si>
  <si>
    <t>Total # of stalls</t>
  </si>
  <si>
    <t>Underground Parking Spaces</t>
  </si>
  <si>
    <t>Visitor Parking &amp; EV Parking</t>
  </si>
  <si>
    <t>Institutional Parking Rent</t>
  </si>
  <si>
    <t>Institutional Parking Space</t>
  </si>
  <si>
    <t>Construction Phasing Distribution</t>
  </si>
  <si>
    <t>Construction Phasing in SF</t>
  </si>
  <si>
    <t xml:space="preserve">Operating Expense </t>
  </si>
  <si>
    <t>Residential Parking Rent</t>
  </si>
  <si>
    <t>Residential Parking Space</t>
  </si>
  <si>
    <t>Retail Parking Rent</t>
  </si>
  <si>
    <t>Retail Parking Space</t>
  </si>
  <si>
    <t>Office Parking Rent</t>
  </si>
  <si>
    <t>Office Parking Space</t>
  </si>
  <si>
    <t>Hourly Parking Allocation</t>
  </si>
  <si>
    <t>Total Parking Constructed</t>
  </si>
  <si>
    <t>Cumulative Parking Constructed</t>
  </si>
  <si>
    <t>Monthly Revenue</t>
  </si>
  <si>
    <t>Hourly Revenue</t>
  </si>
  <si>
    <t>Cost of  Sale</t>
  </si>
  <si>
    <t xml:space="preserve">1. Massing </t>
  </si>
  <si>
    <t>2. Building Summary</t>
  </si>
  <si>
    <t>Loan Fees</t>
  </si>
  <si>
    <t>Blended Cap Rate</t>
  </si>
  <si>
    <t>Equity Outlays</t>
  </si>
  <si>
    <t>* Assumes all equity is contributed before the loan funds</t>
  </si>
  <si>
    <t>Unleveraged Net Cash Flow</t>
  </si>
  <si>
    <t xml:space="preserve">Land Acquistion </t>
  </si>
  <si>
    <t>Market Assumptions</t>
  </si>
  <si>
    <t>Assumption</t>
  </si>
  <si>
    <t>Input</t>
  </si>
  <si>
    <t>Source</t>
  </si>
  <si>
    <t>Apartment Rents PSF (Monthly)</t>
  </si>
  <si>
    <t>Apartment Vacancy</t>
  </si>
  <si>
    <t>Affordable Rents PSF</t>
  </si>
  <si>
    <t>Based on (1/3) of 80% AMI for a family of 2</t>
  </si>
  <si>
    <t>Condo Sales Prices PSF</t>
  </si>
  <si>
    <t>Affordable Sales Price PSF</t>
  </si>
  <si>
    <t>Based a mortgage on (1/3) of 80% AMI for a family of 2</t>
  </si>
  <si>
    <t>Office Rents PSF</t>
  </si>
  <si>
    <t>Office Vacancy</t>
  </si>
  <si>
    <t>Retail Rents PSF</t>
  </si>
  <si>
    <t>Restaurant Rents PSF</t>
  </si>
  <si>
    <t>Grocery Store Rents PSF</t>
  </si>
  <si>
    <t>Retail Vacancy</t>
  </si>
  <si>
    <t>Parking Structure Monthly Rate</t>
  </si>
  <si>
    <t>Hourly Parking Rates</t>
  </si>
  <si>
    <t>Apartment Cap Rates</t>
  </si>
  <si>
    <t>Office Cap Rates</t>
  </si>
  <si>
    <t>Retail Cap Rates</t>
  </si>
  <si>
    <t>Hotel Cap Rates</t>
  </si>
  <si>
    <t>Industrial Cap Rates</t>
  </si>
  <si>
    <t>Parking Cap Rates</t>
  </si>
  <si>
    <r>
      <t xml:space="preserve">Used </t>
    </r>
    <r>
      <rPr>
        <b/>
        <vertAlign val="superscript"/>
        <sz val="10"/>
        <rFont val="Arial Narrow"/>
        <family val="2"/>
      </rPr>
      <t>(1)</t>
    </r>
  </si>
  <si>
    <t>(1) Please note that these rent/sales price figures are current estimates, and that for purposes of calculating Net Operating Income, annual inflation of 2.00% was assumed.</t>
  </si>
  <si>
    <t>Comparison with and averages taken from CoStar, JLL reports, Real Capital Analytics, CBRE reports.</t>
  </si>
  <si>
    <t xml:space="preserve">CBRE &amp; Real Capital Analytics Reports </t>
  </si>
  <si>
    <t>CBRE and Cushman Wakefield estimates for similar submarket spaces in USA</t>
  </si>
  <si>
    <t xml:space="preserve">From CBRE and Real Capital Analytics Retail Reports. </t>
  </si>
  <si>
    <t>Institutional Rents PSF</t>
  </si>
  <si>
    <t>Institutional Vacancy</t>
  </si>
  <si>
    <t>Current sales prices on available units at various Downtown Kansas city Projects</t>
  </si>
  <si>
    <t xml:space="preserve">Infrastructure Schedule </t>
  </si>
  <si>
    <t>Work type</t>
  </si>
  <si>
    <t>Size</t>
  </si>
  <si>
    <t>Units</t>
  </si>
  <si>
    <t>Cost per Unit</t>
  </si>
  <si>
    <t xml:space="preserve">Total Cost </t>
  </si>
  <si>
    <t xml:space="preserve">Site Grading </t>
  </si>
  <si>
    <t>Road Demolition</t>
  </si>
  <si>
    <t>Softscape</t>
  </si>
  <si>
    <t>Block G communal Garden</t>
  </si>
  <si>
    <t>Block F &amp; G Landscaping</t>
  </si>
  <si>
    <t>Block C &amp; D - Water Retention Pond</t>
  </si>
  <si>
    <t>Block C &amp; D - playground</t>
  </si>
  <si>
    <t>Block C &amp; D - sculpture garden</t>
  </si>
  <si>
    <t>Softscape - Block A &amp; B Landscaping</t>
  </si>
  <si>
    <t>Total Infrastructure Cost</t>
  </si>
  <si>
    <t>Grand Total Infrastructure Cost</t>
  </si>
  <si>
    <t># Units</t>
  </si>
  <si>
    <t>s.f.</t>
  </si>
  <si>
    <t>Affordable Rental Housing</t>
  </si>
  <si>
    <t>of Market for Sale Rental Housing</t>
  </si>
  <si>
    <t>3. Infrastructure Schedule</t>
  </si>
  <si>
    <t>Years</t>
  </si>
  <si>
    <t>LEED Volume</t>
  </si>
  <si>
    <t>Total Hard Construction Costs</t>
  </si>
  <si>
    <t>Total Soft Costs</t>
  </si>
  <si>
    <t>4. Budget</t>
  </si>
  <si>
    <t>Joint Venture Equity Investor</t>
  </si>
  <si>
    <t>Developer Land Equity</t>
  </si>
  <si>
    <r>
      <t xml:space="preserve">LIHTC </t>
    </r>
    <r>
      <rPr>
        <vertAlign val="superscript"/>
        <sz val="10"/>
        <color theme="1"/>
        <rFont val="Arial Narrow"/>
        <family val="2"/>
      </rPr>
      <t>(C)</t>
    </r>
  </si>
  <si>
    <t>PACE Financing (A)</t>
  </si>
  <si>
    <t>Liberty Bank Construction Loan (B)</t>
  </si>
  <si>
    <t>Current rents on available units at Kansas City Downtown Building</t>
  </si>
  <si>
    <t>Cushman and Wakefield and PWC Report</t>
  </si>
  <si>
    <t>From comparable structures in Kansas City Downtown</t>
  </si>
  <si>
    <t>TIF Financing</t>
  </si>
  <si>
    <r>
      <t>TIF Financing</t>
    </r>
    <r>
      <rPr>
        <vertAlign val="superscript"/>
        <sz val="10"/>
        <rFont val="Arial Narrow"/>
        <family val="2"/>
      </rPr>
      <t xml:space="preserve"> (D)</t>
    </r>
  </si>
  <si>
    <t>(D) TIF financing for the community improvements and infrastructure, including street renovation, pedestrian bridges, Communal Gardena and amphithetare.</t>
  </si>
  <si>
    <r>
      <t xml:space="preserve">TIF Works </t>
    </r>
    <r>
      <rPr>
        <vertAlign val="superscript"/>
        <sz val="10"/>
        <rFont val="Arial Narrow"/>
        <family val="2"/>
      </rPr>
      <t>( E)</t>
    </r>
  </si>
  <si>
    <t>(E) TIFWorks subsidies for the educational institution development</t>
  </si>
  <si>
    <t>TIF Works</t>
  </si>
  <si>
    <t>(B) Loan from Liberty Bank (known for community development loan) in Kansas city</t>
  </si>
  <si>
    <t xml:space="preserve">(A) PACE financing (property assessed clean energy financing) is a means of financing energy efficiency upgrades, </t>
  </si>
  <si>
    <t>disaster resiliency improvements, water conservation measures, or renewable energy installations of residential, commercial, and industrial property owners.</t>
  </si>
  <si>
    <t>(C) The Low-Income Housing Tax Credit is a dollar-for-dollar tax credit in the United States for affordable housing investments.</t>
  </si>
  <si>
    <t>Massing</t>
  </si>
  <si>
    <t>TEAM : 2021 -1920</t>
  </si>
  <si>
    <t xml:space="preserve"> (20% of Market Rate Rental)</t>
  </si>
  <si>
    <t>CHERRY ST. TOWER (BLOCK A)</t>
  </si>
  <si>
    <t>LEON M. JORDAN COMMUNITY CENTER (BLOCK A)</t>
  </si>
  <si>
    <t>GOLDENFIELD APARTMENTS (9,10,11,17,18,19) (BLOCK G)</t>
  </si>
  <si>
    <t>HEALTH TECHNOLOGY BUILDING (LOT 21,22,23,24) (BLOCK F)</t>
  </si>
  <si>
    <t>CHERRY ST. TOWER (LOT 25) (BLOCK E)</t>
  </si>
  <si>
    <t>LIBERY APARTMENT NO. 3 (LOT 25) (BLOCK E)</t>
  </si>
  <si>
    <t>LIBERY APARTMENT NO. 2 (LOT 20) (BLOCK D)</t>
  </si>
  <si>
    <t>LIBERY APARTMENT NO. 1 (LOT 12,13,14,15) (BLOCK D)</t>
  </si>
  <si>
    <t>FREEDOM APARMENT (LOT 8) (BLOCK C)</t>
  </si>
  <si>
    <t>MAPLEVIEW RESIDENCE (LOT 7) (BLOCK C)</t>
  </si>
  <si>
    <t>Total Residential GFA</t>
  </si>
  <si>
    <t>Block A</t>
  </si>
  <si>
    <t>Phase 1</t>
  </si>
  <si>
    <t>Block F</t>
  </si>
  <si>
    <t>Bio Tech Office</t>
  </si>
  <si>
    <t>Health School</t>
  </si>
  <si>
    <t>Plot Area</t>
  </si>
  <si>
    <t>Acre</t>
  </si>
  <si>
    <t>Usage</t>
  </si>
  <si>
    <t># of Residential  units</t>
  </si>
  <si>
    <t>Units/acre</t>
  </si>
  <si>
    <t>Units/Acre</t>
  </si>
  <si>
    <t>Affordable Units</t>
  </si>
  <si>
    <t>Parking Spaces</t>
  </si>
  <si>
    <t>EV Parking Space</t>
  </si>
  <si>
    <t>Hard Costs</t>
  </si>
  <si>
    <t>Block G</t>
  </si>
  <si>
    <t>Market Rate Rental Units</t>
  </si>
  <si>
    <t>Market for Sale Units</t>
  </si>
  <si>
    <t>Block E</t>
  </si>
  <si>
    <t>Charlotte Tower</t>
  </si>
  <si>
    <t>health tech</t>
  </si>
  <si>
    <t>Golden field</t>
  </si>
  <si>
    <t>liberty</t>
  </si>
  <si>
    <t>Block E,D,C</t>
  </si>
  <si>
    <t>Market Rental</t>
  </si>
  <si>
    <t>Condos</t>
  </si>
  <si>
    <t>E Retail</t>
  </si>
  <si>
    <t>D Retail</t>
  </si>
  <si>
    <t>C Retail</t>
  </si>
  <si>
    <t>Joint Venture Investor Equity</t>
  </si>
  <si>
    <t>PACE (MSED) Financing</t>
  </si>
  <si>
    <t xml:space="preserve">TIF Works </t>
  </si>
  <si>
    <t>4,5,6,7</t>
  </si>
  <si>
    <t>Block B</t>
  </si>
  <si>
    <t>KCMO</t>
  </si>
  <si>
    <t>Cultural</t>
  </si>
  <si>
    <t>Leon</t>
  </si>
  <si>
    <t>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</si>
</sst>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_);[Red]\(&quot;$&quot;#,##0.0\)"/>
    <numFmt numFmtId="166" formatCode="0.0%"/>
    <numFmt numFmtId="167" formatCode="0.0000"/>
    <numFmt numFmtId="168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33CC"/>
      <name val="Arial Narrow"/>
      <family val="2"/>
    </font>
    <font>
      <b/>
      <sz val="10"/>
      <color rgb="FF0033CC"/>
      <name val="Arial Narrow"/>
      <family val="2"/>
    </font>
    <font>
      <sz val="12"/>
      <name val="Arial Narrow"/>
      <family val="2"/>
    </font>
    <font>
      <b/>
      <sz val="10"/>
      <color rgb="FFFFFFFF"/>
      <name val="Arial Narrow"/>
      <family val="2"/>
    </font>
    <font>
      <sz val="10"/>
      <color rgb="FF0000FF"/>
      <name val="Arial Narrow"/>
      <family val="2"/>
    </font>
    <font>
      <sz val="10"/>
      <color rgb="FFFFFFFF"/>
      <name val="Arial Narrow"/>
      <family val="2"/>
    </font>
    <font>
      <b/>
      <vertAlign val="superscript"/>
      <sz val="10"/>
      <name val="Arial Narrow"/>
      <family val="2"/>
    </font>
    <font>
      <sz val="10"/>
      <color rgb="FF050505"/>
      <name val="Arial Narrow"/>
      <family val="2"/>
    </font>
    <font>
      <b/>
      <i/>
      <u/>
      <sz val="10"/>
      <name val="Arial Narrow"/>
      <family val="2"/>
    </font>
    <font>
      <i/>
      <sz val="10"/>
      <name val="Arial Narrow"/>
      <family val="2"/>
    </font>
    <font>
      <sz val="10"/>
      <color theme="2" tint="-0.749992370372631"/>
      <name val="Arial Narrow"/>
      <family val="2"/>
    </font>
    <font>
      <vertAlign val="superscript"/>
      <sz val="10"/>
      <color theme="1"/>
      <name val="Arial Narrow"/>
      <family val="2"/>
    </font>
    <font>
      <vertAlign val="superscript"/>
      <sz val="10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556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1F3E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564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/>
    <xf numFmtId="0" fontId="4" fillId="0" borderId="4" xfId="0" applyFont="1" applyBorder="1"/>
    <xf numFmtId="9" fontId="4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9" fontId="4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6" fontId="4" fillId="0" borderId="5" xfId="0" applyNumberFormat="1" applyFont="1" applyFill="1" applyBorder="1" applyAlignment="1">
      <alignment horizontal="right"/>
    </xf>
    <xf numFmtId="6" fontId="4" fillId="0" borderId="3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9" fontId="4" fillId="0" borderId="7" xfId="0" applyNumberFormat="1" applyFont="1" applyFill="1" applyBorder="1" applyAlignment="1">
      <alignment horizontal="center" wrapText="1"/>
    </xf>
    <xf numFmtId="6" fontId="4" fillId="0" borderId="7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Fill="1" applyBorder="1"/>
    <xf numFmtId="0" fontId="4" fillId="0" borderId="2" xfId="0" applyFont="1" applyFill="1" applyBorder="1"/>
    <xf numFmtId="10" fontId="4" fillId="0" borderId="5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7" xfId="0" applyFont="1" applyFill="1" applyBorder="1"/>
    <xf numFmtId="0" fontId="4" fillId="0" borderId="5" xfId="0" applyFont="1" applyFill="1" applyBorder="1"/>
    <xf numFmtId="0" fontId="5" fillId="0" borderId="6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9" fontId="4" fillId="0" borderId="5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5" fillId="0" borderId="5" xfId="0" applyFont="1" applyFill="1" applyBorder="1"/>
    <xf numFmtId="10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4" fillId="0" borderId="0" xfId="1" applyFont="1"/>
    <xf numFmtId="0" fontId="5" fillId="0" borderId="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0" xfId="1" applyFont="1" applyFill="1" applyBorder="1"/>
    <xf numFmtId="0" fontId="4" fillId="0" borderId="9" xfId="1" applyFont="1" applyFill="1" applyBorder="1"/>
    <xf numFmtId="0" fontId="4" fillId="0" borderId="18" xfId="1" applyFont="1" applyFill="1" applyBorder="1"/>
    <xf numFmtId="0" fontId="8" fillId="3" borderId="8" xfId="1" applyFont="1" applyFill="1" applyBorder="1" applyAlignment="1">
      <alignment horizontal="right" vertical="center"/>
    </xf>
    <xf numFmtId="0" fontId="8" fillId="3" borderId="9" xfId="1" applyFont="1" applyFill="1" applyBorder="1" applyAlignment="1">
      <alignment horizontal="left" vertical="center"/>
    </xf>
    <xf numFmtId="0" fontId="7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2" fillId="3" borderId="0" xfId="1" applyFill="1" applyAlignment="1">
      <alignment vertical="center"/>
    </xf>
    <xf numFmtId="0" fontId="4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2" fillId="3" borderId="0" xfId="1" applyFill="1" applyAlignment="1">
      <alignment vertical="center"/>
    </xf>
    <xf numFmtId="0" fontId="5" fillId="0" borderId="5" xfId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4" borderId="11" xfId="1" applyFont="1" applyFill="1" applyBorder="1" applyAlignment="1">
      <alignment horizontal="centerContinuous"/>
    </xf>
    <xf numFmtId="0" fontId="9" fillId="4" borderId="4" xfId="1" applyFont="1" applyFill="1" applyBorder="1" applyAlignment="1">
      <alignment horizontal="centerContinuous"/>
    </xf>
    <xf numFmtId="0" fontId="4" fillId="4" borderId="4" xfId="1" applyFont="1" applyFill="1" applyBorder="1" applyAlignment="1">
      <alignment horizontal="centerContinuous"/>
    </xf>
    <xf numFmtId="0" fontId="5" fillId="6" borderId="11" xfId="1" applyFont="1" applyFill="1" applyBorder="1" applyAlignment="1">
      <alignment horizontal="centerContinuous"/>
    </xf>
    <xf numFmtId="0" fontId="9" fillId="6" borderId="4" xfId="1" applyFont="1" applyFill="1" applyBorder="1" applyAlignment="1">
      <alignment horizontal="centerContinuous"/>
    </xf>
    <xf numFmtId="0" fontId="4" fillId="6" borderId="4" xfId="1" applyFont="1" applyFill="1" applyBorder="1" applyAlignment="1">
      <alignment horizontal="centerContinuous"/>
    </xf>
    <xf numFmtId="0" fontId="5" fillId="7" borderId="11" xfId="1" applyFont="1" applyFill="1" applyBorder="1" applyAlignment="1">
      <alignment horizontal="centerContinuous"/>
    </xf>
    <xf numFmtId="0" fontId="9" fillId="7" borderId="4" xfId="1" applyFont="1" applyFill="1" applyBorder="1" applyAlignment="1">
      <alignment horizontal="centerContinuous"/>
    </xf>
    <xf numFmtId="0" fontId="4" fillId="7" borderId="4" xfId="1" applyFont="1" applyFill="1" applyBorder="1" applyAlignment="1">
      <alignment horizontal="centerContinuous"/>
    </xf>
    <xf numFmtId="0" fontId="4" fillId="7" borderId="0" xfId="1" applyFont="1" applyFill="1" applyAlignment="1">
      <alignment horizontal="centerContinuous"/>
    </xf>
    <xf numFmtId="0" fontId="4" fillId="0" borderId="29" xfId="1" applyFont="1" applyBorder="1" applyAlignment="1">
      <alignment horizontal="left"/>
    </xf>
    <xf numFmtId="0" fontId="5" fillId="0" borderId="28" xfId="1" applyFont="1" applyBorder="1" applyAlignment="1">
      <alignment horizontal="center"/>
    </xf>
    <xf numFmtId="0" fontId="2" fillId="0" borderId="0" xfId="0" applyFont="1" applyBorder="1"/>
    <xf numFmtId="0" fontId="4" fillId="0" borderId="21" xfId="0" applyFont="1" applyBorder="1" applyAlignment="1">
      <alignment vertical="center"/>
    </xf>
    <xf numFmtId="0" fontId="4" fillId="0" borderId="2" xfId="0" applyFont="1" applyBorder="1"/>
    <xf numFmtId="0" fontId="2" fillId="3" borderId="0" xfId="1" applyFont="1" applyFill="1" applyAlignment="1">
      <alignment vertical="center"/>
    </xf>
    <xf numFmtId="9" fontId="4" fillId="0" borderId="0" xfId="3" applyFont="1"/>
    <xf numFmtId="0" fontId="8" fillId="3" borderId="0" xfId="1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8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3" borderId="22" xfId="1" applyFont="1" applyFill="1" applyBorder="1" applyAlignment="1">
      <alignment vertical="center"/>
    </xf>
    <xf numFmtId="0" fontId="8" fillId="3" borderId="23" xfId="1" applyFont="1" applyFill="1" applyBorder="1" applyAlignment="1">
      <alignment vertical="center"/>
    </xf>
    <xf numFmtId="0" fontId="8" fillId="3" borderId="24" xfId="1" applyFont="1" applyFill="1" applyBorder="1" applyAlignment="1">
      <alignment vertic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8" fontId="14" fillId="0" borderId="32" xfId="0" applyNumberFormat="1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6" xfId="0" applyFont="1" applyBorder="1" applyAlignment="1">
      <alignment horizontal="center"/>
    </xf>
    <xf numFmtId="8" fontId="14" fillId="0" borderId="27" xfId="0" applyNumberFormat="1" applyFont="1" applyBorder="1" applyAlignment="1">
      <alignment horizontal="center"/>
    </xf>
    <xf numFmtId="40" fontId="4" fillId="0" borderId="0" xfId="0" applyNumberFormat="1" applyFont="1"/>
    <xf numFmtId="0" fontId="12" fillId="3" borderId="17" xfId="0" applyFont="1" applyFill="1" applyBorder="1"/>
    <xf numFmtId="0" fontId="13" fillId="3" borderId="10" xfId="0" applyFont="1" applyFill="1" applyBorder="1"/>
    <xf numFmtId="0" fontId="13" fillId="3" borderId="34" xfId="0" applyFont="1" applyFill="1" applyBorder="1"/>
    <xf numFmtId="0" fontId="4" fillId="0" borderId="35" xfId="0" applyFont="1" applyBorder="1"/>
    <xf numFmtId="0" fontId="5" fillId="7" borderId="36" xfId="1" applyFont="1" applyFill="1" applyBorder="1" applyAlignment="1">
      <alignment horizontal="centerContinuous"/>
    </xf>
    <xf numFmtId="0" fontId="4" fillId="0" borderId="37" xfId="0" applyFont="1" applyBorder="1"/>
    <xf numFmtId="40" fontId="4" fillId="0" borderId="0" xfId="0" applyNumberFormat="1" applyFont="1" applyBorder="1"/>
    <xf numFmtId="40" fontId="4" fillId="0" borderId="37" xfId="0" applyNumberFormat="1" applyFont="1" applyBorder="1"/>
    <xf numFmtId="9" fontId="4" fillId="0" borderId="0" xfId="3" applyFont="1" applyBorder="1"/>
    <xf numFmtId="9" fontId="4" fillId="0" borderId="37" xfId="3" applyFont="1" applyBorder="1"/>
    <xf numFmtId="0" fontId="4" fillId="0" borderId="38" xfId="0" applyFont="1" applyBorder="1"/>
    <xf numFmtId="40" fontId="4" fillId="0" borderId="1" xfId="0" applyNumberFormat="1" applyFont="1" applyBorder="1"/>
    <xf numFmtId="40" fontId="4" fillId="0" borderId="18" xfId="0" applyNumberFormat="1" applyFont="1" applyBorder="1"/>
    <xf numFmtId="0" fontId="4" fillId="0" borderId="17" xfId="0" applyFont="1" applyBorder="1"/>
    <xf numFmtId="0" fontId="4" fillId="0" borderId="34" xfId="0" applyFont="1" applyBorder="1"/>
    <xf numFmtId="40" fontId="4" fillId="0" borderId="35" xfId="0" applyNumberFormat="1" applyFont="1" applyBorder="1"/>
    <xf numFmtId="9" fontId="4" fillId="0" borderId="35" xfId="3" applyFont="1" applyBorder="1"/>
    <xf numFmtId="40" fontId="4" fillId="0" borderId="38" xfId="0" applyNumberFormat="1" applyFont="1" applyBorder="1"/>
    <xf numFmtId="0" fontId="4" fillId="0" borderId="18" xfId="0" applyFont="1" applyBorder="1"/>
    <xf numFmtId="166" fontId="4" fillId="0" borderId="37" xfId="3" applyNumberFormat="1" applyFont="1" applyBorder="1"/>
    <xf numFmtId="9" fontId="4" fillId="0" borderId="18" xfId="3" applyFont="1" applyBorder="1"/>
    <xf numFmtId="40" fontId="4" fillId="0" borderId="3" xfId="0" applyNumberFormat="1" applyFont="1" applyFill="1" applyBorder="1" applyAlignment="1">
      <alignment horizontal="center"/>
    </xf>
    <xf numFmtId="0" fontId="4" fillId="0" borderId="39" xfId="1" applyFont="1" applyBorder="1" applyAlignment="1">
      <alignment horizontal="left"/>
    </xf>
    <xf numFmtId="0" fontId="5" fillId="4" borderId="16" xfId="1" applyFont="1" applyFill="1" applyBorder="1" applyAlignment="1">
      <alignment horizontal="centerContinuous"/>
    </xf>
    <xf numFmtId="0" fontId="9" fillId="4" borderId="6" xfId="1" applyFont="1" applyFill="1" applyBorder="1" applyAlignment="1">
      <alignment horizontal="centerContinuous"/>
    </xf>
    <xf numFmtId="0" fontId="4" fillId="4" borderId="6" xfId="1" applyFont="1" applyFill="1" applyBorder="1" applyAlignment="1">
      <alignment horizontal="centerContinuous"/>
    </xf>
    <xf numFmtId="0" fontId="5" fillId="6" borderId="16" xfId="1" applyFont="1" applyFill="1" applyBorder="1" applyAlignment="1">
      <alignment horizontal="centerContinuous"/>
    </xf>
    <xf numFmtId="0" fontId="9" fillId="6" borderId="6" xfId="1" applyFont="1" applyFill="1" applyBorder="1" applyAlignment="1">
      <alignment horizontal="centerContinuous"/>
    </xf>
    <xf numFmtId="0" fontId="4" fillId="6" borderId="6" xfId="1" applyFont="1" applyFill="1" applyBorder="1" applyAlignment="1">
      <alignment horizontal="centerContinuous"/>
    </xf>
    <xf numFmtId="0" fontId="5" fillId="7" borderId="16" xfId="1" applyFont="1" applyFill="1" applyBorder="1" applyAlignment="1">
      <alignment horizontal="centerContinuous"/>
    </xf>
    <xf numFmtId="0" fontId="9" fillId="7" borderId="6" xfId="1" applyFont="1" applyFill="1" applyBorder="1" applyAlignment="1">
      <alignment horizontal="centerContinuous"/>
    </xf>
    <xf numFmtId="0" fontId="4" fillId="7" borderId="6" xfId="1" applyFont="1" applyFill="1" applyBorder="1" applyAlignment="1">
      <alignment horizontal="centerContinuous"/>
    </xf>
    <xf numFmtId="0" fontId="4" fillId="7" borderId="9" xfId="1" applyFont="1" applyFill="1" applyBorder="1" applyAlignment="1">
      <alignment horizontal="centerContinuous"/>
    </xf>
    <xf numFmtId="9" fontId="4" fillId="0" borderId="3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40" fontId="4" fillId="0" borderId="2" xfId="0" applyNumberFormat="1" applyFont="1" applyFill="1" applyBorder="1" applyAlignment="1">
      <alignment horizontal="right"/>
    </xf>
    <xf numFmtId="40" fontId="4" fillId="0" borderId="3" xfId="0" applyNumberFormat="1" applyFont="1" applyFill="1" applyBorder="1" applyAlignment="1">
      <alignment horizontal="right"/>
    </xf>
    <xf numFmtId="8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8" fontId="4" fillId="0" borderId="7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right"/>
    </xf>
    <xf numFmtId="6" fontId="4" fillId="0" borderId="7" xfId="0" applyNumberFormat="1" applyFont="1" applyFill="1" applyBorder="1" applyAlignment="1">
      <alignment horizontal="right"/>
    </xf>
    <xf numFmtId="9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9" fontId="4" fillId="0" borderId="7" xfId="0" applyNumberFormat="1" applyFont="1" applyFill="1" applyBorder="1" applyAlignment="1">
      <alignment horizontal="right"/>
    </xf>
    <xf numFmtId="9" fontId="4" fillId="0" borderId="3" xfId="3" applyFont="1" applyFill="1" applyBorder="1" applyAlignment="1">
      <alignment horizontal="center"/>
    </xf>
    <xf numFmtId="6" fontId="4" fillId="0" borderId="2" xfId="0" applyNumberFormat="1" applyFont="1" applyFill="1" applyBorder="1" applyAlignment="1">
      <alignment horizontal="right"/>
    </xf>
    <xf numFmtId="6" fontId="4" fillId="0" borderId="4" xfId="0" applyNumberFormat="1" applyFont="1" applyFill="1" applyBorder="1" applyAlignment="1">
      <alignment horizontal="right"/>
    </xf>
    <xf numFmtId="40" fontId="4" fillId="0" borderId="10" xfId="0" applyNumberFormat="1" applyFont="1" applyBorder="1"/>
    <xf numFmtId="9" fontId="4" fillId="0" borderId="1" xfId="3" applyFont="1" applyBorder="1"/>
    <xf numFmtId="7" fontId="4" fillId="0" borderId="3" xfId="0" applyNumberFormat="1" applyFont="1" applyFill="1" applyBorder="1" applyAlignment="1">
      <alignment horizontal="center"/>
    </xf>
    <xf numFmtId="7" fontId="4" fillId="0" borderId="3" xfId="0" applyNumberFormat="1" applyFont="1" applyFill="1" applyBorder="1" applyAlignment="1">
      <alignment horizontal="right"/>
    </xf>
    <xf numFmtId="10" fontId="4" fillId="0" borderId="0" xfId="0" applyNumberFormat="1" applyFont="1"/>
    <xf numFmtId="8" fontId="4" fillId="0" borderId="3" xfId="0" applyNumberFormat="1" applyFont="1" applyFill="1" applyBorder="1" applyAlignment="1">
      <alignment horizontal="center"/>
    </xf>
    <xf numFmtId="8" fontId="4" fillId="0" borderId="5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3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9" fontId="4" fillId="0" borderId="37" xfId="0" applyNumberFormat="1" applyFont="1" applyBorder="1"/>
    <xf numFmtId="166" fontId="4" fillId="0" borderId="37" xfId="0" applyNumberFormat="1" applyFont="1" applyBorder="1"/>
    <xf numFmtId="167" fontId="4" fillId="0" borderId="37" xfId="0" applyNumberFormat="1" applyFont="1" applyBorder="1"/>
    <xf numFmtId="10" fontId="4" fillId="0" borderId="37" xfId="0" applyNumberFormat="1" applyFont="1" applyBorder="1"/>
    <xf numFmtId="0" fontId="14" fillId="0" borderId="35" xfId="0" applyFont="1" applyBorder="1"/>
    <xf numFmtId="10" fontId="14" fillId="0" borderId="37" xfId="0" applyNumberFormat="1" applyFont="1" applyBorder="1"/>
    <xf numFmtId="0" fontId="14" fillId="0" borderId="38" xfId="0" applyFont="1" applyBorder="1"/>
    <xf numFmtId="9" fontId="14" fillId="0" borderId="18" xfId="0" applyNumberFormat="1" applyFont="1" applyBorder="1"/>
    <xf numFmtId="43" fontId="4" fillId="0" borderId="10" xfId="2" applyFont="1" applyFill="1" applyBorder="1"/>
    <xf numFmtId="1" fontId="14" fillId="0" borderId="0" xfId="0" applyNumberFormat="1" applyFont="1" applyBorder="1"/>
    <xf numFmtId="2" fontId="14" fillId="0" borderId="0" xfId="0" applyNumberFormat="1" applyFont="1" applyBorder="1"/>
    <xf numFmtId="10" fontId="14" fillId="0" borderId="0" xfId="3" applyNumberFormat="1" applyFont="1" applyBorder="1" applyAlignment="1">
      <alignment horizontal="right"/>
    </xf>
    <xf numFmtId="10" fontId="14" fillId="0" borderId="0" xfId="0" applyNumberFormat="1" applyFont="1" applyBorder="1"/>
    <xf numFmtId="7" fontId="4" fillId="0" borderId="0" xfId="0" applyNumberFormat="1" applyFont="1" applyBorder="1"/>
    <xf numFmtId="10" fontId="14" fillId="0" borderId="1" xfId="0" applyNumberFormat="1" applyFont="1" applyBorder="1"/>
    <xf numFmtId="0" fontId="8" fillId="3" borderId="8" xfId="1" applyFont="1" applyFill="1" applyBorder="1" applyAlignment="1">
      <alignment horizontal="left" vertical="center"/>
    </xf>
    <xf numFmtId="0" fontId="4" fillId="0" borderId="10" xfId="0" applyFont="1" applyBorder="1"/>
    <xf numFmtId="6" fontId="4" fillId="0" borderId="3" xfId="0" applyNumberFormat="1" applyFont="1" applyFill="1" applyBorder="1" applyAlignment="1">
      <alignment horizontal="center"/>
    </xf>
    <xf numFmtId="2" fontId="4" fillId="0" borderId="1" xfId="3" applyNumberFormat="1" applyFont="1" applyBorder="1"/>
    <xf numFmtId="0" fontId="8" fillId="3" borderId="33" xfId="1" applyFont="1" applyFill="1" applyBorder="1" applyAlignment="1">
      <alignment horizontal="right" vertical="center"/>
    </xf>
    <xf numFmtId="10" fontId="4" fillId="0" borderId="37" xfId="3" applyNumberFormat="1" applyFont="1" applyBorder="1"/>
    <xf numFmtId="166" fontId="4" fillId="0" borderId="18" xfId="3" applyNumberFormat="1" applyFont="1" applyBorder="1"/>
    <xf numFmtId="6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8" fontId="4" fillId="0" borderId="2" xfId="0" applyNumberFormat="1" applyFont="1" applyFill="1" applyBorder="1" applyAlignment="1">
      <alignment horizontal="right"/>
    </xf>
    <xf numFmtId="0" fontId="5" fillId="0" borderId="40" xfId="0" applyFont="1" applyBorder="1"/>
    <xf numFmtId="8" fontId="4" fillId="0" borderId="4" xfId="0" applyNumberFormat="1" applyFont="1" applyFill="1" applyBorder="1" applyAlignment="1">
      <alignment horizontal="center"/>
    </xf>
    <xf numFmtId="6" fontId="4" fillId="0" borderId="41" xfId="0" applyNumberFormat="1" applyFont="1" applyFill="1" applyBorder="1" applyAlignment="1">
      <alignment horizontal="right"/>
    </xf>
    <xf numFmtId="0" fontId="5" fillId="0" borderId="42" xfId="0" applyFont="1" applyBorder="1"/>
    <xf numFmtId="0" fontId="4" fillId="0" borderId="43" xfId="0" applyFont="1" applyFill="1" applyBorder="1" applyAlignment="1">
      <alignment horizontal="right"/>
    </xf>
    <xf numFmtId="8" fontId="4" fillId="0" borderId="0" xfId="0" applyNumberFormat="1" applyFont="1"/>
    <xf numFmtId="9" fontId="4" fillId="0" borderId="0" xfId="3" applyFont="1" applyAlignment="1">
      <alignment wrapText="1"/>
    </xf>
    <xf numFmtId="0" fontId="5" fillId="0" borderId="35" xfId="0" applyFont="1" applyBorder="1"/>
    <xf numFmtId="8" fontId="4" fillId="0" borderId="0" xfId="0" applyNumberFormat="1" applyFont="1" applyBorder="1"/>
    <xf numFmtId="8" fontId="4" fillId="0" borderId="1" xfId="0" applyNumberFormat="1" applyFont="1" applyBorder="1"/>
    <xf numFmtId="4" fontId="4" fillId="0" borderId="10" xfId="0" applyNumberFormat="1" applyFont="1" applyBorder="1"/>
    <xf numFmtId="4" fontId="4" fillId="0" borderId="0" xfId="0" applyNumberFormat="1" applyFont="1" applyBorder="1"/>
    <xf numFmtId="0" fontId="12" fillId="11" borderId="0" xfId="0" applyFont="1" applyFill="1"/>
    <xf numFmtId="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9" fontId="4" fillId="0" borderId="3" xfId="0" applyNumberFormat="1" applyFont="1" applyFill="1" applyBorder="1" applyAlignment="1">
      <alignment horizontal="right" wrapText="1"/>
    </xf>
    <xf numFmtId="9" fontId="4" fillId="0" borderId="5" xfId="0" applyNumberFormat="1" applyFont="1" applyFill="1" applyBorder="1" applyAlignment="1">
      <alignment horizontal="right"/>
    </xf>
    <xf numFmtId="9" fontId="4" fillId="0" borderId="7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44" xfId="0" applyFont="1" applyBorder="1" applyAlignment="1">
      <alignment horizontal="right"/>
    </xf>
    <xf numFmtId="2" fontId="4" fillId="0" borderId="45" xfId="0" applyNumberFormat="1" applyFont="1" applyFill="1" applyBorder="1" applyAlignment="1">
      <alignment horizontal="right"/>
    </xf>
    <xf numFmtId="40" fontId="4" fillId="0" borderId="46" xfId="0" applyNumberFormat="1" applyFont="1" applyFill="1" applyBorder="1" applyAlignment="1">
      <alignment horizontal="right"/>
    </xf>
    <xf numFmtId="8" fontId="4" fillId="0" borderId="46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40" fontId="4" fillId="0" borderId="45" xfId="0" applyNumberFormat="1" applyFont="1" applyFill="1" applyBorder="1" applyAlignment="1">
      <alignment horizontal="right"/>
    </xf>
    <xf numFmtId="0" fontId="4" fillId="0" borderId="42" xfId="0" applyFont="1" applyBorder="1" applyAlignment="1">
      <alignment horizontal="right"/>
    </xf>
    <xf numFmtId="10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8" fontId="4" fillId="0" borderId="7" xfId="0" applyNumberFormat="1" applyFont="1" applyFill="1" applyBorder="1" applyAlignment="1">
      <alignment horizontal="center" wrapText="1"/>
    </xf>
    <xf numFmtId="6" fontId="4" fillId="0" borderId="3" xfId="0" applyNumberFormat="1" applyFont="1" applyFill="1" applyBorder="1" applyAlignment="1">
      <alignment horizontal="right" wrapText="1"/>
    </xf>
    <xf numFmtId="8" fontId="4" fillId="0" borderId="7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38" fontId="4" fillId="0" borderId="0" xfId="2" applyNumberFormat="1" applyFont="1"/>
    <xf numFmtId="9" fontId="4" fillId="0" borderId="0" xfId="3" applyFont="1" applyFill="1" applyBorder="1" applyAlignment="1">
      <alignment horizontal="center"/>
    </xf>
    <xf numFmtId="9" fontId="18" fillId="0" borderId="0" xfId="0" applyNumberFormat="1" applyFont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4" fillId="0" borderId="30" xfId="0" applyFont="1" applyBorder="1"/>
    <xf numFmtId="38" fontId="5" fillId="0" borderId="30" xfId="2" applyNumberFormat="1" applyFont="1" applyBorder="1"/>
    <xf numFmtId="0" fontId="17" fillId="0" borderId="0" xfId="0" applyFont="1" applyFill="1" applyBorder="1" applyAlignment="1">
      <alignment horizontal="left" wrapText="1"/>
    </xf>
    <xf numFmtId="0" fontId="12" fillId="13" borderId="0" xfId="0" applyFont="1" applyFill="1"/>
    <xf numFmtId="0" fontId="14" fillId="0" borderId="0" xfId="0" applyFont="1"/>
    <xf numFmtId="0" fontId="13" fillId="13" borderId="0" xfId="0" applyFont="1" applyFill="1"/>
    <xf numFmtId="4" fontId="4" fillId="0" borderId="0" xfId="0" applyNumberFormat="1" applyFont="1"/>
    <xf numFmtId="0" fontId="14" fillId="5" borderId="0" xfId="0" applyFont="1" applyFill="1" applyAlignment="1">
      <alignment horizontal="centerContinuous"/>
    </xf>
    <xf numFmtId="0" fontId="15" fillId="0" borderId="0" xfId="0" applyFont="1" applyAlignment="1">
      <alignment horizontal="center"/>
    </xf>
    <xf numFmtId="0" fontId="15" fillId="0" borderId="0" xfId="0" applyFont="1"/>
    <xf numFmtId="10" fontId="18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7" fontId="18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14" fillId="4" borderId="0" xfId="0" applyFont="1" applyFill="1" applyAlignment="1">
      <alignment horizontal="centerContinuous"/>
    </xf>
    <xf numFmtId="9" fontId="14" fillId="0" borderId="0" xfId="0" applyNumberFormat="1" applyFont="1"/>
    <xf numFmtId="10" fontId="18" fillId="0" borderId="0" xfId="0" applyNumberFormat="1" applyFont="1"/>
    <xf numFmtId="43" fontId="4" fillId="0" borderId="0" xfId="6" applyFont="1" applyBorder="1"/>
    <xf numFmtId="2" fontId="14" fillId="0" borderId="0" xfId="0" applyNumberFormat="1" applyFont="1"/>
    <xf numFmtId="43" fontId="18" fillId="0" borderId="0" xfId="6" applyFont="1" applyBorder="1"/>
    <xf numFmtId="2" fontId="18" fillId="0" borderId="0" xfId="0" applyNumberFormat="1" applyFont="1"/>
    <xf numFmtId="7" fontId="18" fillId="0" borderId="0" xfId="0" applyNumberFormat="1" applyFont="1"/>
    <xf numFmtId="7" fontId="14" fillId="0" borderId="0" xfId="0" applyNumberFormat="1" applyFont="1"/>
    <xf numFmtId="10" fontId="14" fillId="0" borderId="0" xfId="0" applyNumberFormat="1" applyFont="1"/>
    <xf numFmtId="0" fontId="14" fillId="14" borderId="0" xfId="0" applyFont="1" applyFill="1" applyAlignment="1">
      <alignment horizontal="centerContinuous"/>
    </xf>
    <xf numFmtId="9" fontId="18" fillId="0" borderId="0" xfId="0" applyNumberFormat="1" applyFont="1"/>
    <xf numFmtId="0" fontId="14" fillId="15" borderId="0" xfId="0" applyFont="1" applyFill="1" applyAlignment="1">
      <alignment horizontal="centerContinuous"/>
    </xf>
    <xf numFmtId="43" fontId="14" fillId="0" borderId="0" xfId="6" applyFont="1" applyBorder="1"/>
    <xf numFmtId="0" fontId="14" fillId="16" borderId="0" xfId="0" applyFont="1" applyFill="1" applyAlignment="1">
      <alignment horizontal="centerContinuous"/>
    </xf>
    <xf numFmtId="4" fontId="14" fillId="0" borderId="0" xfId="0" applyNumberFormat="1" applyFont="1"/>
    <xf numFmtId="0" fontId="14" fillId="17" borderId="0" xfId="0" applyFont="1" applyFill="1" applyAlignment="1">
      <alignment horizontal="centerContinuous"/>
    </xf>
    <xf numFmtId="9" fontId="4" fillId="0" borderId="0" xfId="0" applyNumberFormat="1" applyFont="1"/>
    <xf numFmtId="4" fontId="18" fillId="0" borderId="0" xfId="0" applyNumberFormat="1" applyFont="1"/>
    <xf numFmtId="7" fontId="4" fillId="0" borderId="0" xfId="0" applyNumberFormat="1" applyFont="1"/>
    <xf numFmtId="0" fontId="12" fillId="18" borderId="0" xfId="0" applyFont="1" applyFill="1" applyAlignment="1">
      <alignment horizontal="centerContinuous"/>
    </xf>
    <xf numFmtId="0" fontId="18" fillId="0" borderId="0" xfId="0" applyFont="1"/>
    <xf numFmtId="0" fontId="14" fillId="0" borderId="0" xfId="0" applyFont="1" applyAlignment="1">
      <alignment wrapText="1"/>
    </xf>
    <xf numFmtId="4" fontId="18" fillId="0" borderId="0" xfId="0" applyNumberFormat="1" applyFont="1" applyAlignment="1">
      <alignment horizontal="right" wrapText="1"/>
    </xf>
    <xf numFmtId="8" fontId="14" fillId="0" borderId="0" xfId="0" applyNumberFormat="1" applyFont="1"/>
    <xf numFmtId="0" fontId="15" fillId="0" borderId="0" xfId="0" applyFont="1" applyAlignment="1">
      <alignment wrapText="1"/>
    </xf>
    <xf numFmtId="43" fontId="14" fillId="0" borderId="0" xfId="6" applyFont="1" applyBorder="1" applyAlignment="1">
      <alignment wrapText="1"/>
    </xf>
    <xf numFmtId="43" fontId="15" fillId="0" borderId="0" xfId="0" applyNumberFormat="1" applyFont="1" applyAlignment="1">
      <alignment wrapText="1"/>
    </xf>
    <xf numFmtId="43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9" fontId="4" fillId="0" borderId="2" xfId="3" applyFont="1" applyFill="1" applyBorder="1" applyAlignment="1">
      <alignment horizontal="right"/>
    </xf>
    <xf numFmtId="9" fontId="4" fillId="0" borderId="34" xfId="3" applyFont="1" applyBorder="1"/>
    <xf numFmtId="0" fontId="4" fillId="0" borderId="35" xfId="0" applyFont="1" applyBorder="1" applyAlignment="1">
      <alignment wrapText="1"/>
    </xf>
    <xf numFmtId="0" fontId="8" fillId="3" borderId="33" xfId="1" applyFont="1" applyFill="1" applyBorder="1" applyAlignment="1">
      <alignment horizontal="left" vertical="center"/>
    </xf>
    <xf numFmtId="8" fontId="4" fillId="0" borderId="18" xfId="0" applyNumberFormat="1" applyFont="1" applyFill="1" applyBorder="1" applyAlignment="1">
      <alignment horizontal="right"/>
    </xf>
    <xf numFmtId="0" fontId="5" fillId="0" borderId="38" xfId="0" applyFont="1" applyBorder="1"/>
    <xf numFmtId="10" fontId="4" fillId="0" borderId="1" xfId="3" applyNumberFormat="1" applyFont="1" applyFill="1" applyBorder="1" applyAlignment="1">
      <alignment horizontal="right"/>
    </xf>
    <xf numFmtId="43" fontId="4" fillId="0" borderId="2" xfId="0" applyNumberFormat="1" applyFont="1" applyFill="1" applyBorder="1" applyAlignment="1">
      <alignment horizontal="center"/>
    </xf>
    <xf numFmtId="43" fontId="4" fillId="0" borderId="2" xfId="0" applyNumberFormat="1" applyFont="1" applyFill="1" applyBorder="1" applyAlignment="1"/>
    <xf numFmtId="43" fontId="4" fillId="0" borderId="2" xfId="0" applyNumberFormat="1" applyFont="1" applyFill="1" applyBorder="1" applyAlignment="1">
      <alignment horizontal="right"/>
    </xf>
    <xf numFmtId="9" fontId="4" fillId="0" borderId="3" xfId="3" applyFont="1" applyFill="1" applyBorder="1" applyAlignment="1">
      <alignment horizontal="right"/>
    </xf>
    <xf numFmtId="10" fontId="4" fillId="0" borderId="7" xfId="0" applyNumberFormat="1" applyFont="1" applyFill="1" applyBorder="1" applyAlignment="1">
      <alignment horizontal="center" wrapText="1"/>
    </xf>
    <xf numFmtId="0" fontId="5" fillId="21" borderId="0" xfId="0" applyFont="1" applyFill="1"/>
    <xf numFmtId="0" fontId="4" fillId="21" borderId="0" xfId="0" applyFont="1" applyFill="1"/>
    <xf numFmtId="8" fontId="14" fillId="0" borderId="37" xfId="0" applyNumberFormat="1" applyFont="1" applyBorder="1"/>
    <xf numFmtId="43" fontId="4" fillId="0" borderId="0" xfId="2" applyFont="1" applyFill="1" applyBorder="1"/>
    <xf numFmtId="9" fontId="4" fillId="0" borderId="0" xfId="3" applyFont="1" applyFill="1" applyBorder="1"/>
    <xf numFmtId="0" fontId="4" fillId="0" borderId="35" xfId="0" applyFont="1" applyFill="1" applyBorder="1"/>
    <xf numFmtId="0" fontId="5" fillId="2" borderId="8" xfId="0" applyFont="1" applyFill="1" applyBorder="1"/>
    <xf numFmtId="0" fontId="5" fillId="2" borderId="6" xfId="0" applyFont="1" applyFill="1" applyBorder="1"/>
    <xf numFmtId="0" fontId="5" fillId="2" borderId="9" xfId="0" applyFont="1" applyFill="1" applyBorder="1"/>
    <xf numFmtId="43" fontId="4" fillId="2" borderId="6" xfId="2" applyFont="1" applyFill="1" applyBorder="1"/>
    <xf numFmtId="43" fontId="4" fillId="0" borderId="3" xfId="0" applyNumberFormat="1" applyFont="1" applyBorder="1" applyAlignment="1">
      <alignment horizontal="center"/>
    </xf>
    <xf numFmtId="8" fontId="4" fillId="0" borderId="3" xfId="0" applyNumberFormat="1" applyFont="1" applyBorder="1" applyAlignment="1">
      <alignment horizontal="center"/>
    </xf>
    <xf numFmtId="9" fontId="4" fillId="0" borderId="3" xfId="3" applyFont="1" applyBorder="1"/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9" fontId="5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9" xfId="0" applyFont="1" applyBorder="1"/>
    <xf numFmtId="164" fontId="4" fillId="0" borderId="3" xfId="0" applyNumberFormat="1" applyFont="1" applyBorder="1" applyAlignment="1">
      <alignment horizontal="center"/>
    </xf>
    <xf numFmtId="43" fontId="4" fillId="0" borderId="3" xfId="0" applyNumberFormat="1" applyFont="1" applyBorder="1"/>
    <xf numFmtId="6" fontId="4" fillId="0" borderId="3" xfId="0" applyNumberFormat="1" applyFont="1" applyBorder="1"/>
    <xf numFmtId="6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/>
    <xf numFmtId="6" fontId="4" fillId="0" borderId="1" xfId="0" applyNumberFormat="1" applyFont="1" applyBorder="1"/>
    <xf numFmtId="6" fontId="5" fillId="0" borderId="7" xfId="0" applyNumberFormat="1" applyFont="1" applyBorder="1"/>
    <xf numFmtId="9" fontId="4" fillId="0" borderId="1" xfId="0" applyNumberFormat="1" applyFont="1" applyFill="1" applyBorder="1" applyAlignment="1">
      <alignment horizontal="center"/>
    </xf>
    <xf numFmtId="8" fontId="4" fillId="0" borderId="8" xfId="0" applyNumberFormat="1" applyFont="1" applyFill="1" applyBorder="1" applyAlignment="1">
      <alignment horizontal="center"/>
    </xf>
    <xf numFmtId="6" fontId="14" fillId="0" borderId="0" xfId="0" applyNumberFormat="1" applyFont="1"/>
    <xf numFmtId="6" fontId="4" fillId="0" borderId="0" xfId="0" applyNumberFormat="1" applyFont="1"/>
    <xf numFmtId="43" fontId="4" fillId="0" borderId="0" xfId="6" applyFont="1" applyFill="1" applyBorder="1"/>
    <xf numFmtId="7" fontId="1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 applyAlignment="1">
      <alignment horizontal="right"/>
    </xf>
    <xf numFmtId="10" fontId="14" fillId="0" borderId="1" xfId="0" applyNumberFormat="1" applyFont="1" applyBorder="1" applyAlignment="1">
      <alignment horizontal="right"/>
    </xf>
    <xf numFmtId="0" fontId="12" fillId="0" borderId="0" xfId="0" applyFont="1" applyFill="1"/>
    <xf numFmtId="7" fontId="4" fillId="0" borderId="2" xfId="0" applyNumberFormat="1" applyFont="1" applyFill="1" applyBorder="1" applyAlignment="1">
      <alignment horizontal="center"/>
    </xf>
    <xf numFmtId="6" fontId="14" fillId="0" borderId="37" xfId="0" applyNumberFormat="1" applyFont="1" applyBorder="1"/>
    <xf numFmtId="2" fontId="14" fillId="0" borderId="37" xfId="0" applyNumberFormat="1" applyFont="1" applyBorder="1"/>
    <xf numFmtId="7" fontId="4" fillId="0" borderId="18" xfId="0" applyNumberFormat="1" applyFont="1" applyBorder="1"/>
    <xf numFmtId="7" fontId="4" fillId="0" borderId="7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6" xfId="0" applyFont="1" applyFill="1" applyBorder="1"/>
    <xf numFmtId="0" fontId="20" fillId="0" borderId="0" xfId="0" applyFont="1"/>
    <xf numFmtId="0" fontId="13" fillId="3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wrapText="1"/>
    </xf>
    <xf numFmtId="0" fontId="21" fillId="23" borderId="8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5" fillId="24" borderId="8" xfId="0" applyFont="1" applyFill="1" applyBorder="1" applyAlignment="1">
      <alignment horizontal="left"/>
    </xf>
    <xf numFmtId="0" fontId="5" fillId="24" borderId="6" xfId="0" applyFont="1" applyFill="1" applyBorder="1" applyAlignment="1">
      <alignment horizontal="left"/>
    </xf>
    <xf numFmtId="0" fontId="4" fillId="24" borderId="6" xfId="0" applyFont="1" applyFill="1" applyBorder="1" applyAlignment="1">
      <alignment horizontal="center"/>
    </xf>
    <xf numFmtId="0" fontId="4" fillId="24" borderId="16" xfId="0" applyFont="1" applyFill="1" applyBorder="1"/>
    <xf numFmtId="0" fontId="4" fillId="24" borderId="6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5" fillId="0" borderId="17" xfId="0" applyFont="1" applyBorder="1"/>
    <xf numFmtId="0" fontId="4" fillId="0" borderId="9" xfId="0" applyFont="1" applyBorder="1"/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/>
    <xf numFmtId="6" fontId="4" fillId="0" borderId="14" xfId="0" applyNumberFormat="1" applyFont="1" applyBorder="1"/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/>
    <xf numFmtId="0" fontId="4" fillId="24" borderId="6" xfId="0" applyFont="1" applyFill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8" fontId="4" fillId="0" borderId="14" xfId="0" applyNumberFormat="1" applyFont="1" applyBorder="1"/>
    <xf numFmtId="6" fontId="4" fillId="0" borderId="12" xfId="0" applyNumberFormat="1" applyFont="1" applyBorder="1"/>
    <xf numFmtId="9" fontId="4" fillId="0" borderId="3" xfId="3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6" fontId="4" fillId="0" borderId="19" xfId="0" applyNumberFormat="1" applyFont="1" applyBorder="1"/>
    <xf numFmtId="6" fontId="4" fillId="0" borderId="6" xfId="0" applyNumberFormat="1" applyFont="1" applyBorder="1" applyAlignment="1">
      <alignment horizontal="center"/>
    </xf>
    <xf numFmtId="6" fontId="4" fillId="0" borderId="6" xfId="0" applyNumberFormat="1" applyFont="1" applyBorder="1" applyAlignment="1">
      <alignment horizontal="right"/>
    </xf>
    <xf numFmtId="6" fontId="4" fillId="0" borderId="15" xfId="0" applyNumberFormat="1" applyFont="1" applyBorder="1"/>
    <xf numFmtId="0" fontId="4" fillId="0" borderId="0" xfId="0" applyFont="1" applyBorder="1" applyAlignment="1"/>
    <xf numFmtId="0" fontId="4" fillId="0" borderId="7" xfId="0" applyFont="1" applyBorder="1" applyAlignment="1">
      <alignment vertical="center"/>
    </xf>
    <xf numFmtId="1" fontId="4" fillId="0" borderId="19" xfId="0" applyNumberFormat="1" applyFont="1" applyBorder="1"/>
    <xf numFmtId="1" fontId="4" fillId="0" borderId="7" xfId="0" applyNumberFormat="1" applyFont="1" applyBorder="1"/>
    <xf numFmtId="1" fontId="4" fillId="0" borderId="13" xfId="0" applyNumberFormat="1" applyFont="1" applyBorder="1"/>
    <xf numFmtId="1" fontId="4" fillId="0" borderId="2" xfId="0" applyNumberFormat="1" applyFont="1" applyBorder="1"/>
    <xf numFmtId="0" fontId="4" fillId="0" borderId="20" xfId="0" applyFont="1" applyBorder="1" applyAlignment="1">
      <alignment vertical="center"/>
    </xf>
    <xf numFmtId="1" fontId="4" fillId="0" borderId="3" xfId="0" applyNumberFormat="1" applyFont="1" applyBorder="1" applyAlignment="1">
      <alignment horizontal="right"/>
    </xf>
    <xf numFmtId="38" fontId="4" fillId="0" borderId="3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38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/>
    <xf numFmtId="0" fontId="4" fillId="0" borderId="7" xfId="0" applyFont="1" applyBorder="1" applyAlignment="1"/>
    <xf numFmtId="38" fontId="5" fillId="0" borderId="16" xfId="0" applyNumberFormat="1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21" fillId="23" borderId="0" xfId="0" applyFont="1" applyFill="1" applyAlignment="1">
      <alignment vertical="center"/>
    </xf>
    <xf numFmtId="0" fontId="23" fillId="23" borderId="0" xfId="0" applyFont="1" applyFill="1" applyAlignment="1">
      <alignment vertical="center"/>
    </xf>
    <xf numFmtId="0" fontId="4" fillId="23" borderId="0" xfId="0" applyFont="1" applyFill="1" applyAlignment="1">
      <alignment vertical="center"/>
    </xf>
    <xf numFmtId="0" fontId="4" fillId="0" borderId="6" xfId="1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22" xfId="1" applyFont="1" applyBorder="1"/>
    <xf numFmtId="0" fontId="4" fillId="0" borderId="23" xfId="1" applyFont="1" applyBorder="1"/>
    <xf numFmtId="0" fontId="5" fillId="0" borderId="23" xfId="1" applyFont="1" applyBorder="1" applyAlignment="1">
      <alignment horizontal="center"/>
    </xf>
    <xf numFmtId="0" fontId="4" fillId="0" borderId="24" xfId="1" applyFont="1" applyBorder="1"/>
    <xf numFmtId="0" fontId="5" fillId="0" borderId="25" xfId="1" applyFont="1" applyBorder="1"/>
    <xf numFmtId="0" fontId="4" fillId="0" borderId="26" xfId="1" applyFont="1" applyBorder="1"/>
    <xf numFmtId="0" fontId="5" fillId="0" borderId="26" xfId="1" applyFont="1" applyBorder="1" applyAlignment="1">
      <alignment horizontal="center"/>
    </xf>
    <xf numFmtId="44" fontId="5" fillId="0" borderId="25" xfId="1" applyNumberFormat="1" applyFont="1" applyBorder="1" applyAlignment="1">
      <alignment horizontal="left"/>
    </xf>
    <xf numFmtId="44" fontId="4" fillId="0" borderId="26" xfId="1" applyNumberFormat="1" applyFont="1" applyBorder="1" applyAlignment="1">
      <alignment horizontal="center"/>
    </xf>
    <xf numFmtId="44" fontId="4" fillId="0" borderId="27" xfId="1" applyNumberFormat="1" applyFont="1" applyBorder="1" applyAlignment="1">
      <alignment horizontal="center"/>
    </xf>
    <xf numFmtId="44" fontId="4" fillId="0" borderId="23" xfId="1" applyNumberFormat="1" applyFont="1" applyBorder="1"/>
    <xf numFmtId="0" fontId="4" fillId="0" borderId="25" xfId="1" applyFont="1" applyBorder="1"/>
    <xf numFmtId="0" fontId="4" fillId="0" borderId="47" xfId="1" applyFont="1" applyBorder="1"/>
    <xf numFmtId="0" fontId="4" fillId="0" borderId="49" xfId="1" applyFont="1" applyBorder="1"/>
    <xf numFmtId="10" fontId="4" fillId="0" borderId="49" xfId="1" applyNumberFormat="1" applyFont="1" applyBorder="1" applyAlignment="1">
      <alignment horizontal="right"/>
    </xf>
    <xf numFmtId="0" fontId="4" fillId="0" borderId="48" xfId="1" applyFont="1" applyBorder="1"/>
    <xf numFmtId="8" fontId="4" fillId="0" borderId="48" xfId="1" applyNumberFormat="1" applyFont="1" applyBorder="1" applyAlignment="1">
      <alignment horizontal="right"/>
    </xf>
    <xf numFmtId="0" fontId="4" fillId="22" borderId="22" xfId="1" applyFont="1" applyFill="1" applyBorder="1"/>
    <xf numFmtId="0" fontId="4" fillId="0" borderId="31" xfId="1" applyFont="1" applyBorder="1"/>
    <xf numFmtId="44" fontId="4" fillId="0" borderId="48" xfId="1" applyNumberFormat="1" applyFont="1" applyBorder="1"/>
    <xf numFmtId="43" fontId="4" fillId="0" borderId="0" xfId="1" applyNumberFormat="1" applyFont="1"/>
    <xf numFmtId="10" fontId="4" fillId="0" borderId="26" xfId="3" applyNumberFormat="1" applyFont="1" applyFill="1" applyBorder="1" applyAlignment="1"/>
    <xf numFmtId="0" fontId="4" fillId="0" borderId="27" xfId="1" applyFont="1" applyBorder="1"/>
    <xf numFmtId="6" fontId="4" fillId="0" borderId="24" xfId="1" applyNumberFormat="1" applyFont="1" applyBorder="1"/>
    <xf numFmtId="0" fontId="4" fillId="0" borderId="32" xfId="1" applyFont="1" applyBorder="1"/>
    <xf numFmtId="6" fontId="4" fillId="0" borderId="27" xfId="1" applyNumberFormat="1" applyFont="1" applyBorder="1"/>
    <xf numFmtId="10" fontId="4" fillId="0" borderId="24" xfId="1" applyNumberFormat="1" applyFont="1" applyBorder="1"/>
    <xf numFmtId="10" fontId="4" fillId="0" borderId="32" xfId="1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10" fontId="4" fillId="0" borderId="27" xfId="1" applyNumberFormat="1" applyFont="1" applyBorder="1"/>
    <xf numFmtId="0" fontId="15" fillId="0" borderId="3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4" fillId="0" borderId="37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9" fontId="18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4" fillId="0" borderId="38" xfId="0" applyFont="1" applyBorder="1" applyAlignment="1">
      <alignment wrapText="1"/>
    </xf>
    <xf numFmtId="4" fontId="18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14" fillId="0" borderId="0" xfId="0" applyNumberFormat="1" applyFont="1" applyBorder="1" applyAlignment="1">
      <alignment horizontal="right" wrapText="1"/>
    </xf>
    <xf numFmtId="0" fontId="14" fillId="0" borderId="37" xfId="0" applyFont="1" applyBorder="1" applyAlignment="1">
      <alignment vertical="center"/>
    </xf>
    <xf numFmtId="4" fontId="14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5" fillId="0" borderId="38" xfId="0" applyFont="1" applyBorder="1" applyAlignment="1">
      <alignment wrapText="1"/>
    </xf>
    <xf numFmtId="9" fontId="14" fillId="0" borderId="18" xfId="5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8" fillId="0" borderId="1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43" fontId="14" fillId="0" borderId="1" xfId="6" applyFont="1" applyBorder="1" applyAlignment="1">
      <alignment wrapText="1"/>
    </xf>
    <xf numFmtId="0" fontId="15" fillId="20" borderId="17" xfId="0" applyFont="1" applyFill="1" applyBorder="1" applyAlignment="1">
      <alignment horizontal="centerContinuous" wrapText="1"/>
    </xf>
    <xf numFmtId="0" fontId="15" fillId="20" borderId="10" xfId="0" applyFont="1" applyFill="1" applyBorder="1" applyAlignment="1">
      <alignment horizontal="centerContinuous" wrapText="1"/>
    </xf>
    <xf numFmtId="0" fontId="15" fillId="20" borderId="34" xfId="0" applyFont="1" applyFill="1" applyBorder="1" applyAlignment="1">
      <alignment horizontal="centerContinuous" wrapText="1"/>
    </xf>
    <xf numFmtId="0" fontId="12" fillId="8" borderId="0" xfId="0" applyFont="1" applyFill="1" applyAlignment="1">
      <alignment horizontal="centerContinuous"/>
    </xf>
    <xf numFmtId="4" fontId="14" fillId="0" borderId="0" xfId="0" applyNumberFormat="1" applyFont="1" applyAlignment="1">
      <alignment horizontal="center"/>
    </xf>
    <xf numFmtId="168" fontId="14" fillId="0" borderId="0" xfId="0" applyNumberFormat="1" applyFont="1"/>
    <xf numFmtId="0" fontId="5" fillId="9" borderId="0" xfId="0" applyFont="1" applyFill="1" applyAlignment="1">
      <alignment horizontal="centerContinuous"/>
    </xf>
    <xf numFmtId="0" fontId="12" fillId="12" borderId="0" xfId="0" applyFont="1" applyFill="1" applyAlignment="1">
      <alignment horizontal="centerContinuous"/>
    </xf>
    <xf numFmtId="0" fontId="12" fillId="8" borderId="6" xfId="0" applyFont="1" applyFill="1" applyBorder="1" applyAlignment="1">
      <alignment horizontal="centerContinuous"/>
    </xf>
    <xf numFmtId="4" fontId="14" fillId="0" borderId="6" xfId="0" applyNumberFormat="1" applyFont="1" applyBorder="1" applyAlignment="1">
      <alignment horizontal="center"/>
    </xf>
    <xf numFmtId="8" fontId="14" fillId="0" borderId="6" xfId="0" applyNumberFormat="1" applyFont="1" applyBorder="1" applyAlignment="1">
      <alignment horizontal="center"/>
    </xf>
    <xf numFmtId="168" fontId="14" fillId="0" borderId="6" xfId="0" applyNumberFormat="1" applyFont="1" applyBorder="1"/>
    <xf numFmtId="0" fontId="14" fillId="0" borderId="0" xfId="0" applyFont="1" applyAlignment="1">
      <alignment horizontal="left" indent="3"/>
    </xf>
    <xf numFmtId="0" fontId="14" fillId="0" borderId="6" xfId="0" applyFont="1" applyBorder="1"/>
    <xf numFmtId="0" fontId="14" fillId="0" borderId="10" xfId="0" applyFont="1" applyBorder="1"/>
    <xf numFmtId="9" fontId="4" fillId="0" borderId="32" xfId="0" applyNumberFormat="1" applyFont="1" applyBorder="1" applyAlignment="1">
      <alignment horizontal="center"/>
    </xf>
    <xf numFmtId="0" fontId="14" fillId="3" borderId="0" xfId="1" applyFont="1" applyFill="1" applyAlignment="1">
      <alignment vertical="center"/>
    </xf>
    <xf numFmtId="0" fontId="8" fillId="3" borderId="34" xfId="1" applyFont="1" applyFill="1" applyBorder="1" applyAlignment="1">
      <alignment horizontal="left" vertical="center"/>
    </xf>
    <xf numFmtId="0" fontId="5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1" xfId="0" applyFont="1" applyBorder="1"/>
    <xf numFmtId="0" fontId="4" fillId="0" borderId="36" xfId="0" applyFont="1" applyBorder="1"/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38" fontId="4" fillId="0" borderId="53" xfId="0" applyNumberFormat="1" applyFont="1" applyBorder="1"/>
    <xf numFmtId="38" fontId="4" fillId="0" borderId="54" xfId="0" applyNumberFormat="1" applyFont="1" applyBorder="1"/>
    <xf numFmtId="0" fontId="5" fillId="0" borderId="52" xfId="0" applyFont="1" applyBorder="1" applyAlignment="1">
      <alignment horizontal="left"/>
    </xf>
    <xf numFmtId="0" fontId="4" fillId="0" borderId="53" xfId="0" applyFont="1" applyBorder="1"/>
    <xf numFmtId="0" fontId="14" fillId="0" borderId="55" xfId="0" applyFont="1" applyBorder="1" applyAlignment="1">
      <alignment horizontal="right"/>
    </xf>
    <xf numFmtId="0" fontId="4" fillId="0" borderId="56" xfId="0" applyFont="1" applyBorder="1"/>
    <xf numFmtId="38" fontId="4" fillId="0" borderId="56" xfId="0" applyNumberFormat="1" applyFont="1" applyBorder="1"/>
    <xf numFmtId="0" fontId="4" fillId="0" borderId="57" xfId="0" applyFont="1" applyBorder="1"/>
    <xf numFmtId="6" fontId="4" fillId="0" borderId="0" xfId="1" applyNumberFormat="1" applyFont="1"/>
    <xf numFmtId="10" fontId="14" fillId="0" borderId="0" xfId="3" applyNumberFormat="1" applyFont="1" applyFill="1" applyBorder="1"/>
    <xf numFmtId="9" fontId="14" fillId="0" borderId="0" xfId="3" applyFont="1" applyFill="1" applyBorder="1"/>
    <xf numFmtId="0" fontId="14" fillId="0" borderId="0" xfId="0" applyFont="1" applyBorder="1"/>
    <xf numFmtId="9" fontId="14" fillId="0" borderId="0" xfId="0" applyNumberFormat="1" applyFont="1" applyBorder="1"/>
    <xf numFmtId="0" fontId="14" fillId="0" borderId="53" xfId="0" applyFont="1" applyBorder="1"/>
    <xf numFmtId="0" fontId="4" fillId="0" borderId="53" xfId="1" applyFont="1" applyBorder="1"/>
    <xf numFmtId="6" fontId="4" fillId="0" borderId="53" xfId="1" applyNumberFormat="1" applyFont="1" applyBorder="1"/>
    <xf numFmtId="6" fontId="14" fillId="0" borderId="53" xfId="0" applyNumberFormat="1" applyFont="1" applyBorder="1"/>
    <xf numFmtId="9" fontId="14" fillId="0" borderId="53" xfId="0" applyNumberFormat="1" applyFont="1" applyBorder="1"/>
    <xf numFmtId="9" fontId="4" fillId="0" borderId="53" xfId="1" applyNumberFormat="1" applyFont="1" applyBorder="1"/>
    <xf numFmtId="9" fontId="28" fillId="0" borderId="53" xfId="1" applyNumberFormat="1" applyFont="1" applyBorder="1"/>
    <xf numFmtId="0" fontId="14" fillId="0" borderId="58" xfId="0" applyFont="1" applyBorder="1"/>
    <xf numFmtId="0" fontId="14" fillId="0" borderId="59" xfId="0" applyFont="1" applyBorder="1"/>
    <xf numFmtId="0" fontId="5" fillId="4" borderId="59" xfId="1" applyFont="1" applyFill="1" applyBorder="1" applyAlignment="1">
      <alignment horizontal="centerContinuous"/>
    </xf>
    <xf numFmtId="0" fontId="5" fillId="6" borderId="59" xfId="1" applyFont="1" applyFill="1" applyBorder="1" applyAlignment="1">
      <alignment horizontal="centerContinuous"/>
    </xf>
    <xf numFmtId="0" fontId="5" fillId="7" borderId="60" xfId="1" applyFont="1" applyFill="1" applyBorder="1" applyAlignment="1">
      <alignment horizontal="centerContinuous"/>
    </xf>
    <xf numFmtId="0" fontId="4" fillId="0" borderId="61" xfId="1" applyFont="1" applyBorder="1"/>
    <xf numFmtId="6" fontId="4" fillId="0" borderId="62" xfId="1" applyNumberFormat="1" applyFont="1" applyBorder="1"/>
    <xf numFmtId="6" fontId="14" fillId="0" borderId="62" xfId="0" applyNumberFormat="1" applyFont="1" applyBorder="1"/>
    <xf numFmtId="8" fontId="14" fillId="0" borderId="62" xfId="0" applyNumberFormat="1" applyFont="1" applyBorder="1"/>
    <xf numFmtId="0" fontId="14" fillId="0" borderId="62" xfId="0" applyFont="1" applyBorder="1"/>
    <xf numFmtId="0" fontId="5" fillId="0" borderId="61" xfId="1" applyFont="1" applyBorder="1"/>
    <xf numFmtId="0" fontId="14" fillId="0" borderId="31" xfId="0" applyFont="1" applyBorder="1"/>
    <xf numFmtId="0" fontId="26" fillId="0" borderId="61" xfId="1" applyFont="1" applyBorder="1"/>
    <xf numFmtId="0" fontId="27" fillId="0" borderId="61" xfId="1" applyFont="1" applyBorder="1" applyAlignment="1">
      <alignment horizontal="left" indent="2"/>
    </xf>
    <xf numFmtId="10" fontId="14" fillId="0" borderId="62" xfId="3" applyNumberFormat="1" applyFont="1" applyFill="1" applyBorder="1"/>
    <xf numFmtId="0" fontId="14" fillId="0" borderId="61" xfId="0" applyFont="1" applyBorder="1"/>
    <xf numFmtId="0" fontId="5" fillId="0" borderId="63" xfId="1" applyFont="1" applyBorder="1"/>
    <xf numFmtId="0" fontId="5" fillId="0" borderId="64" xfId="1" applyFont="1" applyBorder="1"/>
    <xf numFmtId="6" fontId="4" fillId="0" borderId="64" xfId="1" applyNumberFormat="1" applyFont="1" applyBorder="1"/>
    <xf numFmtId="0" fontId="14" fillId="0" borderId="64" xfId="0" applyFont="1" applyBorder="1"/>
    <xf numFmtId="0" fontId="5" fillId="0" borderId="53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6" fontId="5" fillId="0" borderId="14" xfId="0" applyNumberFormat="1" applyFont="1" applyBorder="1"/>
    <xf numFmtId="0" fontId="14" fillId="0" borderId="32" xfId="0" applyFont="1" applyBorder="1"/>
    <xf numFmtId="0" fontId="14" fillId="0" borderId="25" xfId="0" applyFont="1" applyBorder="1"/>
    <xf numFmtId="0" fontId="14" fillId="0" borderId="26" xfId="0" applyFont="1" applyBorder="1"/>
    <xf numFmtId="0" fontId="14" fillId="0" borderId="27" xfId="0" applyFont="1" applyBorder="1"/>
    <xf numFmtId="0" fontId="15" fillId="0" borderId="31" xfId="0" applyFont="1" applyBorder="1"/>
    <xf numFmtId="0" fontId="15" fillId="0" borderId="53" xfId="0" applyFont="1" applyBorder="1"/>
    <xf numFmtId="0" fontId="25" fillId="0" borderId="58" xfId="0" applyFont="1" applyBorder="1"/>
    <xf numFmtId="0" fontId="14" fillId="0" borderId="60" xfId="0" applyFont="1" applyBorder="1"/>
    <xf numFmtId="0" fontId="15" fillId="0" borderId="61" xfId="0" applyFont="1" applyBorder="1"/>
    <xf numFmtId="9" fontId="14" fillId="0" borderId="62" xfId="0" applyNumberFormat="1" applyFont="1" applyBorder="1"/>
    <xf numFmtId="9" fontId="14" fillId="0" borderId="62" xfId="3" applyFont="1" applyFill="1" applyBorder="1"/>
    <xf numFmtId="0" fontId="4" fillId="0" borderId="62" xfId="0" applyFont="1" applyBorder="1"/>
    <xf numFmtId="8" fontId="4" fillId="0" borderId="62" xfId="1" applyNumberFormat="1" applyFont="1" applyBorder="1"/>
    <xf numFmtId="0" fontId="14" fillId="0" borderId="63" xfId="0" applyFont="1" applyBorder="1"/>
    <xf numFmtId="9" fontId="4" fillId="0" borderId="65" xfId="3" applyFont="1" applyFill="1" applyBorder="1"/>
    <xf numFmtId="0" fontId="5" fillId="4" borderId="53" xfId="1" applyFont="1" applyFill="1" applyBorder="1" applyAlignment="1">
      <alignment horizontal="center"/>
    </xf>
    <xf numFmtId="0" fontId="5" fillId="6" borderId="53" xfId="1" applyFont="1" applyFill="1" applyBorder="1" applyAlignment="1">
      <alignment horizontal="center"/>
    </xf>
    <xf numFmtId="0" fontId="5" fillId="7" borderId="53" xfId="1" applyFont="1" applyFill="1" applyBorder="1" applyAlignment="1">
      <alignment horizontal="center"/>
    </xf>
    <xf numFmtId="10" fontId="14" fillId="0" borderId="53" xfId="0" applyNumberFormat="1" applyFont="1" applyBorder="1"/>
    <xf numFmtId="0" fontId="5" fillId="7" borderId="59" xfId="1" applyFont="1" applyFill="1" applyBorder="1" applyAlignment="1">
      <alignment horizontal="centerContinuous"/>
    </xf>
    <xf numFmtId="0" fontId="15" fillId="0" borderId="62" xfId="0" applyFont="1" applyBorder="1"/>
    <xf numFmtId="0" fontId="5" fillId="0" borderId="61" xfId="1" applyFont="1" applyBorder="1" applyAlignment="1">
      <alignment horizontal="left"/>
    </xf>
    <xf numFmtId="0" fontId="14" fillId="0" borderId="61" xfId="0" applyFont="1" applyBorder="1" applyAlignment="1">
      <alignment horizontal="left" indent="2"/>
    </xf>
    <xf numFmtId="0" fontId="14" fillId="0" borderId="65" xfId="0" applyFont="1" applyBorder="1"/>
    <xf numFmtId="0" fontId="5" fillId="0" borderId="53" xfId="1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5" fillId="0" borderId="58" xfId="0" applyFont="1" applyBorder="1"/>
    <xf numFmtId="0" fontId="4" fillId="0" borderId="59" xfId="1" applyFont="1" applyBorder="1" applyAlignment="1">
      <alignment horizontal="left"/>
    </xf>
    <xf numFmtId="0" fontId="9" fillId="4" borderId="59" xfId="1" applyFont="1" applyFill="1" applyBorder="1" applyAlignment="1">
      <alignment horizontal="centerContinuous"/>
    </xf>
    <xf numFmtId="0" fontId="4" fillId="4" borderId="59" xfId="1" applyFont="1" applyFill="1" applyBorder="1" applyAlignment="1">
      <alignment horizontal="centerContinuous"/>
    </xf>
    <xf numFmtId="0" fontId="9" fillId="6" borderId="59" xfId="1" applyFont="1" applyFill="1" applyBorder="1" applyAlignment="1">
      <alignment horizontal="centerContinuous"/>
    </xf>
    <xf numFmtId="0" fontId="4" fillId="6" borderId="59" xfId="1" applyFont="1" applyFill="1" applyBorder="1" applyAlignment="1">
      <alignment horizontal="centerContinuous"/>
    </xf>
    <xf numFmtId="0" fontId="9" fillId="7" borderId="59" xfId="1" applyFont="1" applyFill="1" applyBorder="1" applyAlignment="1">
      <alignment horizontal="centerContinuous"/>
    </xf>
    <xf numFmtId="0" fontId="4" fillId="7" borderId="59" xfId="1" applyFont="1" applyFill="1" applyBorder="1" applyAlignment="1">
      <alignment horizontal="centerContinuous"/>
    </xf>
    <xf numFmtId="0" fontId="4" fillId="7" borderId="60" xfId="1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"/>
    </xf>
    <xf numFmtId="6" fontId="14" fillId="0" borderId="64" xfId="0" applyNumberFormat="1" applyFont="1" applyBorder="1"/>
    <xf numFmtId="6" fontId="4" fillId="0" borderId="0" xfId="0" applyNumberFormat="1" applyFont="1" applyBorder="1" applyAlignment="1">
      <alignment horizontal="center"/>
    </xf>
    <xf numFmtId="38" fontId="4" fillId="0" borderId="1" xfId="0" applyNumberFormat="1" applyFont="1" applyBorder="1"/>
    <xf numFmtId="6" fontId="4" fillId="0" borderId="14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4" fillId="0" borderId="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4" fillId="0" borderId="0" xfId="0" applyNumberFormat="1" applyFont="1" applyBorder="1" applyAlignment="1">
      <alignment horizontal="right"/>
    </xf>
    <xf numFmtId="6" fontId="14" fillId="0" borderId="53" xfId="0" applyNumberFormat="1" applyFont="1" applyFill="1" applyBorder="1"/>
    <xf numFmtId="6" fontId="14" fillId="0" borderId="62" xfId="0" applyNumberFormat="1" applyFont="1" applyFill="1" applyBorder="1"/>
    <xf numFmtId="0" fontId="5" fillId="0" borderId="4" xfId="0" applyFont="1" applyBorder="1" applyAlignment="1"/>
    <xf numFmtId="0" fontId="4" fillId="0" borderId="5" xfId="0" applyFont="1" applyBorder="1" applyAlignment="1">
      <alignment vertical="center"/>
    </xf>
    <xf numFmtId="0" fontId="22" fillId="0" borderId="1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53" xfId="0" applyFont="1" applyBorder="1" applyAlignment="1">
      <alignment horizontal="right"/>
    </xf>
    <xf numFmtId="0" fontId="4" fillId="0" borderId="53" xfId="0" applyFont="1" applyBorder="1" applyAlignment="1"/>
    <xf numFmtId="8" fontId="14" fillId="0" borderId="53" xfId="0" applyNumberFormat="1" applyFont="1" applyBorder="1" applyAlignment="1">
      <alignment horizontal="center"/>
    </xf>
    <xf numFmtId="0" fontId="5" fillId="0" borderId="53" xfId="0" applyFont="1" applyBorder="1" applyAlignment="1">
      <alignment horizontal="right"/>
    </xf>
    <xf numFmtId="0" fontId="4" fillId="0" borderId="68" xfId="0" applyFont="1" applyBorder="1" applyAlignment="1">
      <alignment horizontal="right"/>
    </xf>
    <xf numFmtId="0" fontId="4" fillId="0" borderId="68" xfId="0" applyFont="1" applyBorder="1" applyAlignment="1"/>
    <xf numFmtId="0" fontId="5" fillId="0" borderId="67" xfId="0" applyFont="1" applyBorder="1"/>
    <xf numFmtId="0" fontId="5" fillId="0" borderId="67" xfId="0" applyFont="1" applyBorder="1" applyAlignment="1"/>
    <xf numFmtId="0" fontId="5" fillId="0" borderId="69" xfId="0" applyFont="1" applyBorder="1"/>
    <xf numFmtId="0" fontId="5" fillId="0" borderId="70" xfId="0" applyFont="1" applyBorder="1" applyAlignment="1">
      <alignment horizontal="right"/>
    </xf>
    <xf numFmtId="0" fontId="5" fillId="0" borderId="21" xfId="0" applyFont="1" applyBorder="1" applyAlignment="1">
      <alignment horizontal="right" vertical="center"/>
    </xf>
    <xf numFmtId="6" fontId="4" fillId="0" borderId="3" xfId="0" applyNumberFormat="1" applyFont="1" applyBorder="1" applyAlignment="1"/>
    <xf numFmtId="10" fontId="14" fillId="0" borderId="65" xfId="3" applyNumberFormat="1" applyFont="1" applyFill="1" applyBorder="1"/>
    <xf numFmtId="166" fontId="4" fillId="0" borderId="0" xfId="3" applyNumberFormat="1" applyFont="1" applyBorder="1"/>
    <xf numFmtId="0" fontId="5" fillId="0" borderId="0" xfId="0" applyFont="1" applyBorder="1"/>
    <xf numFmtId="0" fontId="12" fillId="13" borderId="22" xfId="0" applyFont="1" applyFill="1" applyBorder="1"/>
    <xf numFmtId="0" fontId="12" fillId="13" borderId="23" xfId="0" applyFont="1" applyFill="1" applyBorder="1"/>
    <xf numFmtId="0" fontId="12" fillId="13" borderId="31" xfId="0" applyFont="1" applyFill="1" applyBorder="1"/>
    <xf numFmtId="0" fontId="15" fillId="9" borderId="17" xfId="0" applyFont="1" applyFill="1" applyBorder="1"/>
    <xf numFmtId="0" fontId="14" fillId="9" borderId="10" xfId="0" applyFont="1" applyFill="1" applyBorder="1"/>
    <xf numFmtId="0" fontId="14" fillId="9" borderId="34" xfId="0" applyFont="1" applyFill="1" applyBorder="1"/>
    <xf numFmtId="0" fontId="15" fillId="10" borderId="35" xfId="0" applyFont="1" applyFill="1" applyBorder="1" applyAlignment="1">
      <alignment horizontal="center" wrapText="1"/>
    </xf>
    <xf numFmtId="0" fontId="15" fillId="10" borderId="0" xfId="0" applyFont="1" applyFill="1" applyAlignment="1">
      <alignment horizontal="center" wrapText="1"/>
    </xf>
    <xf numFmtId="0" fontId="15" fillId="10" borderId="37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left" wrapText="1"/>
    </xf>
    <xf numFmtId="10" fontId="4" fillId="0" borderId="0" xfId="5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10" fontId="4" fillId="0" borderId="1" xfId="5" applyNumberFormat="1" applyFont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3" fillId="13" borderId="23" xfId="0" applyFont="1" applyFill="1" applyBorder="1"/>
    <xf numFmtId="0" fontId="13" fillId="13" borderId="24" xfId="0" applyFont="1" applyFill="1" applyBorder="1"/>
    <xf numFmtId="0" fontId="12" fillId="25" borderId="0" xfId="0" applyFont="1" applyFill="1"/>
    <xf numFmtId="9" fontId="15" fillId="0" borderId="0" xfId="5" applyFont="1" applyBorder="1" applyAlignment="1">
      <alignment horizontal="left"/>
    </xf>
    <xf numFmtId="0" fontId="15" fillId="5" borderId="31" xfId="0" applyFont="1" applyFill="1" applyBorder="1" applyAlignment="1">
      <alignment horizontal="centerContinuous"/>
    </xf>
    <xf numFmtId="0" fontId="14" fillId="5" borderId="32" xfId="0" applyFont="1" applyFill="1" applyBorder="1" applyAlignment="1">
      <alignment horizontal="centerContinuous"/>
    </xf>
    <xf numFmtId="0" fontId="15" fillId="4" borderId="31" xfId="0" applyFont="1" applyFill="1" applyBorder="1" applyAlignment="1">
      <alignment horizontal="centerContinuous"/>
    </xf>
    <xf numFmtId="0" fontId="14" fillId="4" borderId="32" xfId="0" applyFont="1" applyFill="1" applyBorder="1" applyAlignment="1">
      <alignment horizontal="centerContinuous"/>
    </xf>
    <xf numFmtId="9" fontId="14" fillId="0" borderId="32" xfId="0" applyNumberFormat="1" applyFont="1" applyBorder="1"/>
    <xf numFmtId="2" fontId="14" fillId="0" borderId="32" xfId="0" applyNumberFormat="1" applyFont="1" applyBorder="1"/>
    <xf numFmtId="7" fontId="14" fillId="0" borderId="32" xfId="0" applyNumberFormat="1" applyFont="1" applyBorder="1"/>
    <xf numFmtId="10" fontId="14" fillId="0" borderId="32" xfId="0" applyNumberFormat="1" applyFont="1" applyBorder="1"/>
    <xf numFmtId="0" fontId="15" fillId="14" borderId="31" xfId="0" applyFont="1" applyFill="1" applyBorder="1" applyAlignment="1">
      <alignment horizontal="centerContinuous"/>
    </xf>
    <xf numFmtId="0" fontId="14" fillId="14" borderId="32" xfId="0" applyFont="1" applyFill="1" applyBorder="1" applyAlignment="1">
      <alignment horizontal="centerContinuous"/>
    </xf>
    <xf numFmtId="0" fontId="15" fillId="15" borderId="31" xfId="0" applyFont="1" applyFill="1" applyBorder="1" applyAlignment="1">
      <alignment horizontal="centerContinuous"/>
    </xf>
    <xf numFmtId="0" fontId="14" fillId="15" borderId="32" xfId="0" applyFont="1" applyFill="1" applyBorder="1" applyAlignment="1">
      <alignment horizontal="centerContinuous"/>
    </xf>
    <xf numFmtId="0" fontId="15" fillId="16" borderId="31" xfId="0" applyFont="1" applyFill="1" applyBorder="1" applyAlignment="1">
      <alignment horizontal="centerContinuous"/>
    </xf>
    <xf numFmtId="0" fontId="14" fillId="16" borderId="32" xfId="0" applyFont="1" applyFill="1" applyBorder="1" applyAlignment="1">
      <alignment horizontal="centerContinuous"/>
    </xf>
    <xf numFmtId="4" fontId="4" fillId="0" borderId="26" xfId="0" applyNumberFormat="1" applyFont="1" applyBorder="1"/>
    <xf numFmtId="0" fontId="15" fillId="17" borderId="31" xfId="0" applyFont="1" applyFill="1" applyBorder="1" applyAlignment="1">
      <alignment horizontal="centerContinuous"/>
    </xf>
    <xf numFmtId="0" fontId="14" fillId="17" borderId="32" xfId="0" applyFont="1" applyFill="1" applyBorder="1" applyAlignment="1">
      <alignment horizontal="centerContinuous"/>
    </xf>
    <xf numFmtId="0" fontId="12" fillId="18" borderId="32" xfId="0" applyFont="1" applyFill="1" applyBorder="1" applyAlignment="1">
      <alignment horizontal="centerContinuous"/>
    </xf>
    <xf numFmtId="0" fontId="15" fillId="0" borderId="32" xfId="0" applyFont="1" applyBorder="1" applyAlignment="1">
      <alignment horizontal="center"/>
    </xf>
    <xf numFmtId="10" fontId="4" fillId="0" borderId="32" xfId="0" applyNumberFormat="1" applyFont="1" applyBorder="1" applyAlignment="1">
      <alignment horizontal="center"/>
    </xf>
    <xf numFmtId="39" fontId="4" fillId="0" borderId="32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0" fontId="18" fillId="0" borderId="32" xfId="0" applyNumberFormat="1" applyFont="1" applyBorder="1" applyAlignment="1">
      <alignment horizontal="center"/>
    </xf>
    <xf numFmtId="2" fontId="18" fillId="0" borderId="3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7" fontId="18" fillId="0" borderId="32" xfId="0" applyNumberFormat="1" applyFont="1" applyBorder="1" applyAlignment="1">
      <alignment horizontal="center"/>
    </xf>
    <xf numFmtId="7" fontId="4" fillId="0" borderId="32" xfId="0" applyNumberFormat="1" applyFont="1" applyBorder="1" applyAlignment="1">
      <alignment horizontal="center"/>
    </xf>
    <xf numFmtId="0" fontId="13" fillId="13" borderId="32" xfId="0" applyFont="1" applyFill="1" applyBorder="1"/>
    <xf numFmtId="0" fontId="27" fillId="0" borderId="3" xfId="0" applyFont="1" applyBorder="1" applyAlignment="1">
      <alignment horizontal="right"/>
    </xf>
    <xf numFmtId="0" fontId="21" fillId="23" borderId="22" xfId="0" applyFont="1" applyFill="1" applyBorder="1" applyAlignment="1">
      <alignment vertical="center"/>
    </xf>
    <xf numFmtId="0" fontId="21" fillId="23" borderId="23" xfId="0" applyFont="1" applyFill="1" applyBorder="1" applyAlignment="1">
      <alignment vertical="center"/>
    </xf>
    <xf numFmtId="0" fontId="21" fillId="23" borderId="24" xfId="0" applyFont="1" applyFill="1" applyBorder="1" applyAlignment="1">
      <alignment vertical="center"/>
    </xf>
    <xf numFmtId="0" fontId="22" fillId="0" borderId="71" xfId="0" applyFont="1" applyBorder="1" applyAlignment="1">
      <alignment wrapText="1"/>
    </xf>
    <xf numFmtId="0" fontId="5" fillId="0" borderId="72" xfId="0" applyFont="1" applyBorder="1" applyAlignment="1">
      <alignment horizontal="center" wrapText="1"/>
    </xf>
    <xf numFmtId="0" fontId="5" fillId="0" borderId="73" xfId="0" applyFont="1" applyBorder="1" applyAlignment="1">
      <alignment vertical="center"/>
    </xf>
    <xf numFmtId="0" fontId="4" fillId="0" borderId="74" xfId="0" applyFont="1" applyBorder="1" applyAlignment="1"/>
    <xf numFmtId="0" fontId="4" fillId="0" borderId="75" xfId="0" applyFont="1" applyBorder="1" applyAlignment="1">
      <alignment vertical="center"/>
    </xf>
    <xf numFmtId="166" fontId="4" fillId="0" borderId="76" xfId="3" applyNumberFormat="1" applyFont="1" applyBorder="1" applyAlignment="1">
      <alignment horizontal="right"/>
    </xf>
    <xf numFmtId="166" fontId="4" fillId="0" borderId="76" xfId="0" applyNumberFormat="1" applyFont="1" applyBorder="1" applyAlignment="1"/>
    <xf numFmtId="0" fontId="4" fillId="0" borderId="77" xfId="0" applyFont="1" applyBorder="1" applyAlignment="1">
      <alignment vertical="center"/>
    </xf>
    <xf numFmtId="166" fontId="4" fillId="0" borderId="78" xfId="0" applyNumberFormat="1" applyFont="1" applyBorder="1" applyAlignment="1"/>
    <xf numFmtId="0" fontId="5" fillId="0" borderId="73" xfId="0" applyFont="1" applyBorder="1" applyAlignment="1"/>
    <xf numFmtId="166" fontId="4" fillId="0" borderId="74" xfId="0" applyNumberFormat="1" applyFont="1" applyBorder="1" applyAlignment="1"/>
    <xf numFmtId="0" fontId="4" fillId="0" borderId="75" xfId="0" applyFont="1" applyBorder="1" applyAlignment="1"/>
    <xf numFmtId="0" fontId="4" fillId="0" borderId="77" xfId="0" applyFont="1" applyBorder="1" applyAlignment="1"/>
    <xf numFmtId="0" fontId="4" fillId="0" borderId="76" xfId="0" applyFont="1" applyBorder="1" applyAlignment="1"/>
    <xf numFmtId="0" fontId="4" fillId="0" borderId="78" xfId="0" applyFont="1" applyBorder="1" applyAlignment="1"/>
    <xf numFmtId="0" fontId="5" fillId="0" borderId="79" xfId="0" applyFont="1" applyBorder="1" applyAlignment="1"/>
    <xf numFmtId="0" fontId="5" fillId="0" borderId="80" xfId="0" applyFont="1" applyBorder="1" applyAlignment="1"/>
    <xf numFmtId="6" fontId="4" fillId="0" borderId="80" xfId="0" applyNumberFormat="1" applyFont="1" applyBorder="1" applyAlignment="1"/>
    <xf numFmtId="0" fontId="4" fillId="0" borderId="80" xfId="0" applyFont="1" applyBorder="1" applyAlignment="1"/>
    <xf numFmtId="9" fontId="4" fillId="0" borderId="81" xfId="0" applyNumberFormat="1" applyFont="1" applyBorder="1" applyAlignment="1"/>
    <xf numFmtId="0" fontId="5" fillId="0" borderId="83" xfId="0" applyFont="1" applyBorder="1" applyAlignment="1">
      <alignment wrapText="1"/>
    </xf>
    <xf numFmtId="0" fontId="5" fillId="0" borderId="84" xfId="0" applyFont="1" applyBorder="1"/>
    <xf numFmtId="0" fontId="4" fillId="0" borderId="32" xfId="1" applyFont="1" applyFill="1" applyBorder="1"/>
    <xf numFmtId="0" fontId="4" fillId="0" borderId="85" xfId="0" applyFont="1" applyBorder="1" applyAlignment="1">
      <alignment vertical="center"/>
    </xf>
    <xf numFmtId="6" fontId="4" fillId="0" borderId="62" xfId="0" applyNumberFormat="1" applyFont="1" applyBorder="1"/>
    <xf numFmtId="6" fontId="4" fillId="0" borderId="76" xfId="0" applyNumberFormat="1" applyFont="1" applyBorder="1" applyAlignment="1"/>
    <xf numFmtId="0" fontId="5" fillId="0" borderId="31" xfId="1" applyFont="1" applyFill="1" applyBorder="1"/>
    <xf numFmtId="0" fontId="5" fillId="0" borderId="76" xfId="0" applyFont="1" applyBorder="1"/>
    <xf numFmtId="0" fontId="4" fillId="0" borderId="87" xfId="0" applyFont="1" applyBorder="1" applyAlignment="1"/>
    <xf numFmtId="0" fontId="5" fillId="0" borderId="88" xfId="0" applyFont="1" applyBorder="1"/>
    <xf numFmtId="0" fontId="5" fillId="0" borderId="89" xfId="0" applyFont="1" applyBorder="1" applyAlignment="1"/>
    <xf numFmtId="6" fontId="4" fillId="0" borderId="91" xfId="0" applyNumberFormat="1" applyFont="1" applyBorder="1" applyAlignment="1"/>
    <xf numFmtId="0" fontId="4" fillId="0" borderId="61" xfId="0" applyFont="1" applyBorder="1" applyAlignment="1">
      <alignment horizontal="right"/>
    </xf>
    <xf numFmtId="6" fontId="4" fillId="0" borderId="62" xfId="0" applyNumberFormat="1" applyFont="1" applyBorder="1" applyAlignment="1"/>
    <xf numFmtId="8" fontId="14" fillId="0" borderId="61" xfId="0" applyNumberFormat="1" applyFont="1" applyBorder="1" applyAlignment="1">
      <alignment horizontal="center"/>
    </xf>
    <xf numFmtId="6" fontId="4" fillId="0" borderId="32" xfId="0" applyNumberFormat="1" applyFont="1" applyBorder="1" applyAlignment="1"/>
    <xf numFmtId="0" fontId="5" fillId="0" borderId="71" xfId="0" applyFont="1" applyBorder="1"/>
    <xf numFmtId="6" fontId="4" fillId="0" borderId="72" xfId="0" applyNumberFormat="1" applyFont="1" applyBorder="1" applyAlignment="1"/>
    <xf numFmtId="0" fontId="5" fillId="0" borderId="25" xfId="0" applyFont="1" applyBorder="1"/>
    <xf numFmtId="0" fontId="5" fillId="0" borderId="26" xfId="0" applyFont="1" applyBorder="1" applyAlignment="1">
      <alignment horizontal="right"/>
    </xf>
    <xf numFmtId="0" fontId="23" fillId="0" borderId="80" xfId="0" applyFont="1" applyBorder="1" applyAlignment="1"/>
    <xf numFmtId="6" fontId="5" fillId="0" borderId="81" xfId="0" applyNumberFormat="1" applyFont="1" applyBorder="1" applyAlignment="1"/>
    <xf numFmtId="6" fontId="14" fillId="0" borderId="53" xfId="0" applyNumberFormat="1" applyFont="1" applyBorder="1" applyAlignment="1">
      <alignment horizontal="right"/>
    </xf>
    <xf numFmtId="8" fontId="14" fillId="0" borderId="53" xfId="0" applyNumberFormat="1" applyFont="1" applyBorder="1" applyAlignment="1">
      <alignment horizontal="right"/>
    </xf>
    <xf numFmtId="8" fontId="4" fillId="0" borderId="53" xfId="0" applyNumberFormat="1" applyFont="1" applyFill="1" applyBorder="1" applyAlignment="1">
      <alignment horizontal="right"/>
    </xf>
    <xf numFmtId="38" fontId="4" fillId="0" borderId="53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6" fontId="4" fillId="0" borderId="53" xfId="0" applyNumberFormat="1" applyFont="1" applyFill="1" applyBorder="1" applyAlignment="1">
      <alignment horizontal="right"/>
    </xf>
    <xf numFmtId="0" fontId="5" fillId="0" borderId="53" xfId="0" applyFont="1" applyBorder="1"/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/>
    <xf numFmtId="8" fontId="4" fillId="0" borderId="53" xfId="0" applyNumberFormat="1" applyFont="1" applyFill="1" applyBorder="1" applyAlignment="1">
      <alignment horizontal="center"/>
    </xf>
    <xf numFmtId="9" fontId="4" fillId="0" borderId="53" xfId="0" applyNumberFormat="1" applyFont="1" applyFill="1" applyBorder="1" applyAlignment="1">
      <alignment horizontal="center"/>
    </xf>
    <xf numFmtId="9" fontId="4" fillId="0" borderId="53" xfId="0" applyNumberFormat="1" applyFont="1" applyFill="1" applyBorder="1" applyAlignment="1">
      <alignment horizontal="right"/>
    </xf>
    <xf numFmtId="2" fontId="4" fillId="0" borderId="53" xfId="0" applyNumberFormat="1" applyFont="1" applyFill="1" applyBorder="1" applyAlignment="1">
      <alignment horizontal="right"/>
    </xf>
    <xf numFmtId="38" fontId="4" fillId="0" borderId="53" xfId="0" applyNumberFormat="1" applyFont="1" applyBorder="1" applyAlignment="1">
      <alignment horizontal="center"/>
    </xf>
    <xf numFmtId="40" fontId="4" fillId="0" borderId="53" xfId="0" applyNumberFormat="1" applyFont="1" applyFill="1" applyBorder="1" applyAlignment="1">
      <alignment horizontal="right"/>
    </xf>
    <xf numFmtId="6" fontId="4" fillId="0" borderId="53" xfId="0" applyNumberFormat="1" applyFont="1" applyFill="1" applyBorder="1" applyAlignment="1">
      <alignment horizontal="center"/>
    </xf>
    <xf numFmtId="9" fontId="4" fillId="0" borderId="53" xfId="3" applyFont="1" applyBorder="1" applyAlignment="1">
      <alignment horizontal="center"/>
    </xf>
    <xf numFmtId="40" fontId="4" fillId="0" borderId="53" xfId="0" applyNumberFormat="1" applyFont="1" applyBorder="1" applyAlignment="1">
      <alignment horizontal="right"/>
    </xf>
    <xf numFmtId="40" fontId="4" fillId="0" borderId="5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4" fillId="0" borderId="17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10" fontId="4" fillId="0" borderId="10" xfId="5" applyNumberFormat="1" applyFont="1" applyBorder="1" applyAlignment="1">
      <alignment horizontal="center"/>
    </xf>
    <xf numFmtId="9" fontId="1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center" wrapText="1"/>
    </xf>
    <xf numFmtId="9" fontId="1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6" fontId="4" fillId="0" borderId="0" xfId="1" applyNumberFormat="1" applyFont="1" applyFill="1" applyBorder="1"/>
    <xf numFmtId="6" fontId="4" fillId="0" borderId="0" xfId="1" applyNumberFormat="1" applyFont="1" applyFill="1" applyBorder="1" applyAlignment="1">
      <alignment horizontal="left" indent="1"/>
    </xf>
    <xf numFmtId="9" fontId="14" fillId="0" borderId="0" xfId="3" applyFont="1"/>
    <xf numFmtId="4" fontId="14" fillId="0" borderId="0" xfId="0" applyNumberFormat="1" applyFont="1" applyBorder="1"/>
    <xf numFmtId="0" fontId="14" fillId="5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10" fontId="18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7" fontId="18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0" fontId="14" fillId="14" borderId="0" xfId="0" applyFont="1" applyFill="1" applyBorder="1" applyAlignment="1">
      <alignment horizontal="centerContinuous"/>
    </xf>
    <xf numFmtId="9" fontId="18" fillId="0" borderId="0" xfId="0" applyNumberFormat="1" applyFont="1" applyBorder="1"/>
    <xf numFmtId="7" fontId="18" fillId="0" borderId="0" xfId="0" applyNumberFormat="1" applyFont="1" applyBorder="1"/>
    <xf numFmtId="10" fontId="18" fillId="0" borderId="0" xfId="0" applyNumberFormat="1" applyFont="1" applyBorder="1"/>
    <xf numFmtId="0" fontId="14" fillId="17" borderId="0" xfId="0" applyFont="1" applyFill="1" applyBorder="1" applyAlignment="1">
      <alignment horizontal="centerContinuous"/>
    </xf>
    <xf numFmtId="9" fontId="4" fillId="0" borderId="0" xfId="0" applyNumberFormat="1" applyFont="1" applyBorder="1"/>
    <xf numFmtId="4" fontId="18" fillId="0" borderId="0" xfId="0" applyNumberFormat="1" applyFont="1" applyBorder="1"/>
    <xf numFmtId="0" fontId="14" fillId="4" borderId="0" xfId="0" applyFont="1" applyFill="1" applyBorder="1" applyAlignment="1">
      <alignment horizontal="centerContinuous"/>
    </xf>
    <xf numFmtId="0" fontId="15" fillId="0" borderId="0" xfId="0" applyFont="1" applyBorder="1"/>
    <xf numFmtId="0" fontId="18" fillId="0" borderId="0" xfId="0" applyFont="1" applyBorder="1"/>
    <xf numFmtId="2" fontId="18" fillId="0" borderId="0" xfId="0" applyNumberFormat="1" applyFont="1" applyBorder="1"/>
    <xf numFmtId="0" fontId="14" fillId="15" borderId="0" xfId="0" applyFont="1" applyFill="1" applyBorder="1" applyAlignment="1">
      <alignment horizontal="centerContinuous"/>
    </xf>
    <xf numFmtId="43" fontId="4" fillId="0" borderId="32" xfId="0" applyNumberFormat="1" applyFont="1" applyBorder="1"/>
    <xf numFmtId="43" fontId="18" fillId="0" borderId="32" xfId="6" applyFont="1" applyBorder="1"/>
    <xf numFmtId="43" fontId="4" fillId="0" borderId="32" xfId="6" applyFont="1" applyBorder="1"/>
    <xf numFmtId="7" fontId="18" fillId="0" borderId="32" xfId="0" applyNumberFormat="1" applyFont="1" applyBorder="1"/>
    <xf numFmtId="9" fontId="18" fillId="0" borderId="32" xfId="0" applyNumberFormat="1" applyFont="1" applyBorder="1"/>
    <xf numFmtId="0" fontId="14" fillId="16" borderId="0" xfId="0" applyFont="1" applyFill="1" applyBorder="1" applyAlignment="1">
      <alignment horizontal="centerContinuous"/>
    </xf>
    <xf numFmtId="43" fontId="4" fillId="0" borderId="0" xfId="0" applyNumberFormat="1" applyFont="1" applyBorder="1"/>
    <xf numFmtId="2" fontId="4" fillId="0" borderId="0" xfId="0" applyNumberFormat="1" applyFont="1"/>
    <xf numFmtId="0" fontId="2" fillId="0" borderId="0" xfId="0" applyFont="1"/>
    <xf numFmtId="0" fontId="31" fillId="0" borderId="0" xfId="0" applyFont="1"/>
    <xf numFmtId="4" fontId="0" fillId="0" borderId="0" xfId="0" applyNumberFormat="1"/>
    <xf numFmtId="2" fontId="0" fillId="0" borderId="0" xfId="0" applyNumberFormat="1"/>
    <xf numFmtId="0" fontId="2" fillId="26" borderId="0" xfId="0" applyFont="1" applyFill="1"/>
    <xf numFmtId="43" fontId="0" fillId="0" borderId="0" xfId="0" applyNumberFormat="1"/>
    <xf numFmtId="164" fontId="0" fillId="0" borderId="0" xfId="0" applyNumberFormat="1"/>
    <xf numFmtId="6" fontId="0" fillId="0" borderId="0" xfId="0" applyNumberFormat="1"/>
    <xf numFmtId="8" fontId="0" fillId="0" borderId="0" xfId="0" applyNumberFormat="1"/>
    <xf numFmtId="6" fontId="0" fillId="0" borderId="0" xfId="0" applyNumberFormat="1" applyAlignment="1">
      <alignment horizontal="left" indent="3"/>
    </xf>
    <xf numFmtId="8" fontId="4" fillId="0" borderId="0" xfId="1" applyNumberFormat="1" applyFont="1" applyFill="1" applyBorder="1"/>
    <xf numFmtId="8" fontId="4" fillId="0" borderId="3" xfId="0" applyNumberFormat="1" applyFont="1" applyBorder="1" applyAlignment="1"/>
    <xf numFmtId="10" fontId="14" fillId="0" borderId="0" xfId="0" applyNumberFormat="1" applyFont="1" applyAlignment="1">
      <alignment horizontal="right"/>
    </xf>
    <xf numFmtId="164" fontId="4" fillId="0" borderId="0" xfId="0" applyNumberFormat="1" applyFont="1"/>
    <xf numFmtId="0" fontId="32" fillId="0" borderId="35" xfId="0" applyFont="1" applyBorder="1"/>
    <xf numFmtId="4" fontId="4" fillId="0" borderId="3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2" fillId="0" borderId="53" xfId="0" applyFont="1" applyBorder="1"/>
    <xf numFmtId="0" fontId="4" fillId="0" borderId="7" xfId="0" applyFont="1" applyBorder="1" applyAlignment="1">
      <alignment horizontal="right"/>
    </xf>
    <xf numFmtId="0" fontId="21" fillId="23" borderId="0" xfId="0" applyFont="1" applyFill="1" applyAlignment="1">
      <alignment vertical="center"/>
    </xf>
    <xf numFmtId="0" fontId="5" fillId="0" borderId="5" xfId="0" applyFont="1" applyBorder="1" applyAlignment="1">
      <alignment horizontal="left"/>
    </xf>
    <xf numFmtId="0" fontId="4" fillId="0" borderId="75" xfId="0" applyFont="1" applyBorder="1" applyAlignment="1">
      <alignment horizontal="right"/>
    </xf>
    <xf numFmtId="0" fontId="5" fillId="0" borderId="8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right"/>
    </xf>
    <xf numFmtId="0" fontId="4" fillId="0" borderId="23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90" xfId="0" applyFont="1" applyBorder="1" applyAlignment="1">
      <alignment horizontal="right"/>
    </xf>
    <xf numFmtId="0" fontId="4" fillId="0" borderId="68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86" xfId="0" applyFont="1" applyBorder="1" applyAlignment="1">
      <alignment horizontal="right"/>
    </xf>
    <xf numFmtId="0" fontId="4" fillId="22" borderId="22" xfId="1" applyFont="1" applyFill="1" applyBorder="1" applyAlignment="1">
      <alignment horizontal="left" vertical="top" wrapText="1"/>
    </xf>
    <xf numFmtId="0" fontId="4" fillId="22" borderId="23" xfId="1" applyFont="1" applyFill="1" applyBorder="1" applyAlignment="1">
      <alignment horizontal="left" vertical="top" wrapText="1"/>
    </xf>
    <xf numFmtId="0" fontId="4" fillId="22" borderId="24" xfId="1" applyFont="1" applyFill="1" applyBorder="1" applyAlignment="1">
      <alignment horizontal="left" vertical="top" wrapText="1"/>
    </xf>
    <xf numFmtId="0" fontId="4" fillId="22" borderId="25" xfId="1" applyFont="1" applyFill="1" applyBorder="1" applyAlignment="1">
      <alignment horizontal="left" vertical="top" wrapText="1"/>
    </xf>
    <xf numFmtId="0" fontId="4" fillId="22" borderId="26" xfId="1" applyFont="1" applyFill="1" applyBorder="1" applyAlignment="1">
      <alignment horizontal="left" vertical="top" wrapText="1"/>
    </xf>
    <xf numFmtId="0" fontId="4" fillId="22" borderId="27" xfId="1" applyFont="1" applyFill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left" vertical="top" wrapText="1"/>
    </xf>
    <xf numFmtId="0" fontId="4" fillId="0" borderId="31" xfId="1" applyFont="1" applyBorder="1" applyAlignment="1">
      <alignment horizontal="left" vertical="top" wrapText="1"/>
    </xf>
    <xf numFmtId="0" fontId="4" fillId="0" borderId="32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0" fontId="4" fillId="0" borderId="26" xfId="1" applyFont="1" applyBorder="1" applyAlignment="1">
      <alignment horizontal="left" vertical="top" wrapText="1"/>
    </xf>
    <xf numFmtId="0" fontId="4" fillId="0" borderId="27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3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left" vertical="center" wrapText="1"/>
    </xf>
    <xf numFmtId="0" fontId="5" fillId="0" borderId="5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5" fillId="19" borderId="17" xfId="0" applyFont="1" applyFill="1" applyBorder="1" applyAlignment="1">
      <alignment horizontal="center" wrapText="1"/>
    </xf>
    <xf numFmtId="0" fontId="15" fillId="19" borderId="10" xfId="0" applyFont="1" applyFill="1" applyBorder="1" applyAlignment="1">
      <alignment horizontal="center" wrapText="1"/>
    </xf>
    <xf numFmtId="0" fontId="15" fillId="19" borderId="34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</cellXfs>
  <cellStyles count="7">
    <cellStyle name="Comma" xfId="2" builtinId="3"/>
    <cellStyle name="Comma 2" xfId="6" xr:uid="{C24B7176-E512-4994-A734-D2E92B6EC255}"/>
    <cellStyle name="Normal" xfId="0" builtinId="0"/>
    <cellStyle name="Normal 2" xfId="1" xr:uid="{00000000-0005-0000-0000-000001000000}"/>
    <cellStyle name="Normal 3" xfId="4" xr:uid="{848BAF30-2BF4-4582-84CB-9D9471863ABF}"/>
    <cellStyle name="Percent" xfId="3" builtinId="5"/>
    <cellStyle name="Percent 2" xfId="5" xr:uid="{C26A9F56-B418-482C-B43D-BFDDC6ACDBBD}"/>
  </cellStyles>
  <dxfs count="0"/>
  <tableStyles count="0" defaultTableStyle="TableStyleMedium9" defaultPivotStyle="PivotStyleLight16"/>
  <colors>
    <mruColors>
      <color rgb="FF005564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01E-42DB-9815-55DDDD9662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01E-42DB-9815-55DDDD9662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01E-42DB-9815-55DDDD9662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01E-42DB-9815-55DDDD9662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Sheet1!$B$9:$B$12</c:f>
              <c:strCache>
                <c:ptCount val="4"/>
                <c:pt idx="0">
                  <c:v>Residential </c:v>
                </c:pt>
                <c:pt idx="1">
                  <c:v>Retail</c:v>
                </c:pt>
                <c:pt idx="2">
                  <c:v>Bio Tech Office</c:v>
                </c:pt>
                <c:pt idx="3">
                  <c:v>Health School</c:v>
                </c:pt>
              </c:strCache>
            </c:strRef>
          </c:cat>
          <c:val>
            <c:numRef>
              <c:f>Sheet1!$C$9:$C$12</c:f>
              <c:numCache>
                <c:formatCode>#,##0.00</c:formatCode>
                <c:ptCount val="4"/>
                <c:pt idx="0">
                  <c:v>104564</c:v>
                </c:pt>
                <c:pt idx="1">
                  <c:v>23954</c:v>
                </c:pt>
                <c:pt idx="2">
                  <c:v>71791</c:v>
                </c:pt>
                <c:pt idx="3">
                  <c:v>150177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D-449C-B6B1-B6833DD4B2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F9-495F-9046-A2DAE8981D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F9-495F-9046-A2DAE8981D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F9-495F-9046-A2DAE8981D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9F9-495F-9046-A2DAE8981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Sheet1!$B$28:$B$30</c:f>
              <c:strCache>
                <c:ptCount val="3"/>
                <c:pt idx="0">
                  <c:v>Residential </c:v>
                </c:pt>
                <c:pt idx="1">
                  <c:v>Retail</c:v>
                </c:pt>
                <c:pt idx="2">
                  <c:v>Office</c:v>
                </c:pt>
              </c:strCache>
            </c:strRef>
          </c:cat>
          <c:val>
            <c:numRef>
              <c:f>Sheet1!$C$28:$C$30</c:f>
              <c:numCache>
                <c:formatCode>#,##0.00</c:formatCode>
                <c:ptCount val="3"/>
                <c:pt idx="0">
                  <c:v>200765</c:v>
                </c:pt>
                <c:pt idx="1">
                  <c:v>14822</c:v>
                </c:pt>
                <c:pt idx="2">
                  <c:v>81535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F9-495F-9046-A2DAE8981D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E1E-4F68-9138-CA405540CA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E1E-4F68-9138-CA405540CA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E1E-4F68-9138-CA405540CA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E1E-4F68-9138-CA405540CA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Sheet1!$B$43:$B$44</c:f>
              <c:strCache>
                <c:ptCount val="2"/>
                <c:pt idx="0">
                  <c:v>Residential </c:v>
                </c:pt>
                <c:pt idx="1">
                  <c:v>Retail</c:v>
                </c:pt>
              </c:strCache>
            </c:strRef>
          </c:cat>
          <c:val>
            <c:numRef>
              <c:f>Sheet1!$C$43:$C$44</c:f>
              <c:numCache>
                <c:formatCode>#,##0.00</c:formatCode>
                <c:ptCount val="2"/>
                <c:pt idx="0">
                  <c:v>185000</c:v>
                </c:pt>
                <c:pt idx="1">
                  <c:v>16604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1E-4F68-9138-CA405540CA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A80-4260-8CD2-3C951065C9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80-4260-8CD2-3C951065C9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A80-4260-8CD2-3C951065C9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A80-4260-8CD2-3C951065C9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Sheet1!$B$60:$B$61</c:f>
              <c:strCache>
                <c:ptCount val="2"/>
                <c:pt idx="0">
                  <c:v>Residential </c:v>
                </c:pt>
                <c:pt idx="1">
                  <c:v>Retail</c:v>
                </c:pt>
              </c:strCache>
            </c:strRef>
          </c:cat>
          <c:val>
            <c:numRef>
              <c:f>Sheet1!$C$60:$C$61</c:f>
              <c:numCache>
                <c:formatCode>#,##0.00</c:formatCode>
                <c:ptCount val="2"/>
                <c:pt idx="0">
                  <c:v>414401</c:v>
                </c:pt>
                <c:pt idx="1">
                  <c:v>71046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80-4260-8CD2-3C951065C9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35-46A1-8696-A2BD3B03E5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35-46A1-8696-A2BD3B03E5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A35-46A1-8696-A2BD3B03E5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A35-46A1-8696-A2BD3B03E5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Sheet1!$B$78:$B$79</c:f>
              <c:strCache>
                <c:ptCount val="2"/>
                <c:pt idx="0">
                  <c:v>Cultural</c:v>
                </c:pt>
                <c:pt idx="1">
                  <c:v>Office</c:v>
                </c:pt>
              </c:strCache>
            </c:strRef>
          </c:cat>
          <c:val>
            <c:numRef>
              <c:f>Sheet1!$C$78:$C$79</c:f>
              <c:numCache>
                <c:formatCode>#,##0.00</c:formatCode>
                <c:ptCount val="2"/>
                <c:pt idx="0">
                  <c:v>172229</c:v>
                </c:pt>
                <c:pt idx="1">
                  <c:v>112838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5-46A1-8696-A2BD3B03E5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638-4DCF-A75C-471DA2D53A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638-4DCF-A75C-471DA2D53A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638-4DCF-A75C-471DA2D53A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638-4DCF-A75C-471DA2D53A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Sheet1!$B$90:$B$91</c:f>
              <c:strCache>
                <c:ptCount val="1"/>
                <c:pt idx="0">
                  <c:v>Cultural</c:v>
                </c:pt>
              </c:strCache>
            </c:strRef>
          </c:cat>
          <c:val>
            <c:numRef>
              <c:f>Sheet1!$C$90:$C$91</c:f>
              <c:numCache>
                <c:formatCode>#,##0.00</c:formatCode>
                <c:ptCount val="2"/>
                <c:pt idx="0">
                  <c:v>54897.8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38-4DCF-A75C-471DA2D53A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930-B6A8-8F1939F43F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21-4930-B6A8-8F1939F43F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D21-4930-B6A8-8F1939F43F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D21-4930-B6A8-8F1939F43F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Sheet1!$B$110:$B$111</c:f>
              <c:strCache>
                <c:ptCount val="2"/>
                <c:pt idx="0">
                  <c:v>Residential</c:v>
                </c:pt>
                <c:pt idx="1">
                  <c:v>Retail</c:v>
                </c:pt>
              </c:strCache>
            </c:strRef>
          </c:cat>
          <c:val>
            <c:numRef>
              <c:f>Sheet1!$C$110:$C$111</c:f>
              <c:numCache>
                <c:formatCode>#,##0.00</c:formatCode>
                <c:ptCount val="2"/>
                <c:pt idx="0">
                  <c:v>171362</c:v>
                </c:pt>
                <c:pt idx="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21-4930-B6A8-8F1939F43F7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464820</xdr:colOff>
      <xdr:row>1</xdr:row>
      <xdr:rowOff>148590</xdr:rowOff>
    </xdr:from>
    <xdr:to>
      <xdr:col>13</xdr:col>
      <xdr:colOff>243840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5D5672-6F96-4B64-9257-65F079014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468085</xdr:colOff>
      <xdr:row>18</xdr:row>
      <xdr:rowOff>97972</xdr:rowOff>
    </xdr:from>
    <xdr:to>
      <xdr:col>13</xdr:col>
      <xdr:colOff>247105</xdr:colOff>
      <xdr:row>35</xdr:row>
      <xdr:rowOff>25582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C05544-D8F7-4315-8C86-D7F91F7ED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468086</xdr:colOff>
      <xdr:row>35</xdr:row>
      <xdr:rowOff>0</xdr:rowOff>
    </xdr:from>
    <xdr:to>
      <xdr:col>13</xdr:col>
      <xdr:colOff>247106</xdr:colOff>
      <xdr:row>51</xdr:row>
      <xdr:rowOff>90896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4AA80D-0630-4173-9C8E-D48D28E65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54429</xdr:colOff>
      <xdr:row>54</xdr:row>
      <xdr:rowOff>21771</xdr:rowOff>
    </xdr:from>
    <xdr:to>
      <xdr:col>13</xdr:col>
      <xdr:colOff>443049</xdr:colOff>
      <xdr:row>70</xdr:row>
      <xdr:rowOff>112667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36BBC2-ECF7-4F08-A814-8E03FB118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54429</xdr:colOff>
      <xdr:row>70</xdr:row>
      <xdr:rowOff>141515</xdr:rowOff>
    </xdr:from>
    <xdr:to>
      <xdr:col>13</xdr:col>
      <xdr:colOff>443049</xdr:colOff>
      <xdr:row>87</xdr:row>
      <xdr:rowOff>69125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EF4925D-3673-42FB-8F7B-C60123CA4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54429</xdr:colOff>
      <xdr:row>87</xdr:row>
      <xdr:rowOff>152401</xdr:rowOff>
    </xdr:from>
    <xdr:to>
      <xdr:col>13</xdr:col>
      <xdr:colOff>443049</xdr:colOff>
      <xdr:row>104</xdr:row>
      <xdr:rowOff>80011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950AA47-B4EF-4AAB-A6D0-A954FBC5B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117</xdr:row>
      <xdr:rowOff>0</xdr:rowOff>
    </xdr:from>
    <xdr:to>
      <xdr:col>16</xdr:col>
      <xdr:colOff>388620</xdr:colOff>
      <xdr:row>133</xdr:row>
      <xdr:rowOff>90896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C1D3D68-5E91-4B01-83AA-0621A396A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1f025eab39c24eb/Desktop/Mont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llika\Downloads\ULI%20COMP\My%20Deliverables\ProForma%20-ULI%20Case%20comp%20-%2024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Sheet1"/>
      <sheetName val="SummarySheet2"/>
      <sheetName val="CashFlow-Combined"/>
      <sheetName val="BuildingSummary"/>
      <sheetName val="Assumptions-Overall"/>
      <sheetName val="Assumptions-ResCondo"/>
      <sheetName val="CashFlow-ResCondo"/>
      <sheetName val="Assumptions-ResRental"/>
      <sheetName val="CashFlow-ResRental"/>
      <sheetName val="Assumptions-Retail"/>
      <sheetName val="CashFlow-Retail"/>
      <sheetName val="Assumptions-Office"/>
      <sheetName val="CashFlow-Office"/>
      <sheetName val="Assumptions-Hotel"/>
      <sheetName val="CashFlow-Hotel"/>
      <sheetName val="Assumptions-Parking"/>
      <sheetName val="CashFlow-Parking"/>
      <sheetName val="Assumptions-Land&amp;Infrastructure"/>
    </sheetNames>
    <sheetDataSet>
      <sheetData sheetId="0"/>
      <sheetData sheetId="1">
        <row r="5">
          <cell r="J5">
            <v>0.19999999999999996</v>
          </cell>
        </row>
      </sheetData>
      <sheetData sheetId="2">
        <row r="15">
          <cell r="J15">
            <v>30040312.379869752</v>
          </cell>
        </row>
      </sheetData>
      <sheetData sheetId="3">
        <row r="3">
          <cell r="C3" t="str">
            <v>Montage</v>
          </cell>
        </row>
        <row r="4">
          <cell r="C4">
            <v>181430</v>
          </cell>
        </row>
      </sheetData>
      <sheetData sheetId="4">
        <row r="9">
          <cell r="C9">
            <v>43101</v>
          </cell>
        </row>
        <row r="10">
          <cell r="C10">
            <v>43831</v>
          </cell>
          <cell r="E10">
            <v>44561</v>
          </cell>
        </row>
        <row r="11">
          <cell r="C11">
            <v>44562</v>
          </cell>
        </row>
        <row r="12">
          <cell r="C12">
            <v>44927</v>
          </cell>
        </row>
        <row r="16">
          <cell r="C16">
            <v>43831</v>
          </cell>
        </row>
        <row r="17">
          <cell r="C17">
            <v>44562</v>
          </cell>
          <cell r="E17">
            <v>45291</v>
          </cell>
        </row>
        <row r="18">
          <cell r="C18">
            <v>45292</v>
          </cell>
        </row>
        <row r="19">
          <cell r="C19">
            <v>45658</v>
          </cell>
        </row>
        <row r="23">
          <cell r="C23">
            <v>44562</v>
          </cell>
        </row>
        <row r="24">
          <cell r="C24">
            <v>45292</v>
          </cell>
          <cell r="E24">
            <v>46022</v>
          </cell>
        </row>
        <row r="25">
          <cell r="C25">
            <v>46023</v>
          </cell>
        </row>
        <row r="26">
          <cell r="C26">
            <v>46388</v>
          </cell>
        </row>
      </sheetData>
      <sheetData sheetId="5"/>
      <sheetData sheetId="6"/>
      <sheetData sheetId="7">
        <row r="16">
          <cell r="O16">
            <v>0.1</v>
          </cell>
        </row>
      </sheetData>
      <sheetData sheetId="8">
        <row r="46">
          <cell r="E46">
            <v>0</v>
          </cell>
        </row>
      </sheetData>
      <sheetData sheetId="9">
        <row r="9">
          <cell r="B9" t="str">
            <v>Grocery</v>
          </cell>
        </row>
      </sheetData>
      <sheetData sheetId="10">
        <row r="7">
          <cell r="E7">
            <v>2</v>
          </cell>
        </row>
      </sheetData>
      <sheetData sheetId="11">
        <row r="9">
          <cell r="B9" t="str">
            <v>Market Rate Office Space</v>
          </cell>
        </row>
      </sheetData>
      <sheetData sheetId="12">
        <row r="7">
          <cell r="D7">
            <v>1</v>
          </cell>
        </row>
      </sheetData>
      <sheetData sheetId="13"/>
      <sheetData sheetId="14"/>
      <sheetData sheetId="15">
        <row r="28">
          <cell r="E28">
            <v>311</v>
          </cell>
        </row>
      </sheetData>
      <sheetData sheetId="16"/>
      <sheetData sheetId="17">
        <row r="8">
          <cell r="F8">
            <v>12040000</v>
          </cell>
        </row>
        <row r="9">
          <cell r="F9">
            <v>25650000</v>
          </cell>
        </row>
        <row r="10">
          <cell r="F10">
            <v>15600000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velopment Summary"/>
      <sheetName val="Infrastructure Cost"/>
      <sheetName val="Condos"/>
      <sheetName val="Apartments"/>
      <sheetName val="Affordable"/>
      <sheetName val="Office"/>
      <sheetName val="Retail"/>
      <sheetName val="Institutional"/>
      <sheetName val="UG Parking"/>
      <sheetName val="Parcel List"/>
      <sheetName val="Massing"/>
      <sheetName val="Budget"/>
      <sheetName val="Assumptions"/>
      <sheetName val="Financing"/>
    </sheetNames>
    <sheetDataSet>
      <sheetData sheetId="0">
        <row r="26">
          <cell r="D26">
            <v>0</v>
          </cell>
          <cell r="E26"/>
        </row>
      </sheetData>
      <sheetData sheetId="1">
        <row r="15">
          <cell r="D15">
            <v>54625</v>
          </cell>
        </row>
        <row r="91">
          <cell r="D91">
            <v>19476.95</v>
          </cell>
        </row>
        <row r="92">
          <cell r="D92">
            <v>0.2</v>
          </cell>
        </row>
        <row r="93">
          <cell r="D93">
            <v>3895.3900000000003</v>
          </cell>
        </row>
        <row r="94">
          <cell r="D94">
            <v>6450</v>
          </cell>
        </row>
        <row r="98">
          <cell r="D98">
            <v>100303</v>
          </cell>
        </row>
        <row r="125">
          <cell r="D125">
            <v>144</v>
          </cell>
          <cell r="E125">
            <v>224</v>
          </cell>
        </row>
        <row r="157">
          <cell r="D157">
            <v>46361.85</v>
          </cell>
        </row>
        <row r="158">
          <cell r="D158">
            <v>0.68843240724863219</v>
          </cell>
        </row>
        <row r="159">
          <cell r="D159">
            <v>31917</v>
          </cell>
        </row>
        <row r="160">
          <cell r="D160">
            <v>15958.5</v>
          </cell>
        </row>
        <row r="164">
          <cell r="D164">
            <v>70704.3</v>
          </cell>
        </row>
        <row r="165">
          <cell r="D165">
            <v>45035.9</v>
          </cell>
        </row>
        <row r="230">
          <cell r="D230">
            <v>70704.3</v>
          </cell>
        </row>
        <row r="231">
          <cell r="D231">
            <v>45035.9</v>
          </cell>
        </row>
        <row r="232">
          <cell r="D232">
            <v>0.3</v>
          </cell>
        </row>
        <row r="233">
          <cell r="D233">
            <v>34722.060000000005</v>
          </cell>
        </row>
        <row r="234">
          <cell r="D234">
            <v>3884</v>
          </cell>
        </row>
        <row r="235">
          <cell r="D235">
            <v>10674</v>
          </cell>
        </row>
        <row r="239">
          <cell r="D239">
            <v>90622</v>
          </cell>
        </row>
        <row r="305">
          <cell r="D305">
            <v>57511.9</v>
          </cell>
        </row>
        <row r="306">
          <cell r="D306">
            <v>45035.9</v>
          </cell>
        </row>
        <row r="307">
          <cell r="D307">
            <v>0.3</v>
          </cell>
        </row>
        <row r="308">
          <cell r="D308">
            <v>30764.34</v>
          </cell>
        </row>
        <row r="310">
          <cell r="D310">
            <v>21683</v>
          </cell>
        </row>
        <row r="314">
          <cell r="D314">
            <v>86994</v>
          </cell>
        </row>
        <row r="398">
          <cell r="D398">
            <v>51530.3</v>
          </cell>
        </row>
        <row r="399">
          <cell r="D399">
            <v>0.3</v>
          </cell>
        </row>
        <row r="400">
          <cell r="D400">
            <v>15459.09</v>
          </cell>
        </row>
        <row r="401">
          <cell r="D401">
            <v>3816</v>
          </cell>
        </row>
        <row r="402">
          <cell r="D402">
            <v>30588</v>
          </cell>
        </row>
        <row r="406">
          <cell r="D406">
            <v>95362</v>
          </cell>
        </row>
        <row r="454">
          <cell r="D454">
            <v>46</v>
          </cell>
          <cell r="E454">
            <v>173</v>
          </cell>
        </row>
        <row r="504">
          <cell r="D504">
            <v>34792.9</v>
          </cell>
        </row>
        <row r="505">
          <cell r="D505">
            <v>0.3</v>
          </cell>
        </row>
        <row r="506">
          <cell r="D506">
            <v>10437.870000000001</v>
          </cell>
        </row>
        <row r="510">
          <cell r="D510">
            <v>98180</v>
          </cell>
        </row>
        <row r="543">
          <cell r="D543">
            <v>35</v>
          </cell>
          <cell r="E543">
            <v>208</v>
          </cell>
        </row>
        <row r="593">
          <cell r="D593">
            <v>36491</v>
          </cell>
        </row>
        <row r="594">
          <cell r="D594">
            <v>0.3</v>
          </cell>
        </row>
        <row r="595">
          <cell r="D595">
            <v>10947.3</v>
          </cell>
        </row>
        <row r="596">
          <cell r="D596">
            <v>52682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C4">
            <v>54625</v>
          </cell>
        </row>
        <row r="11">
          <cell r="I11">
            <v>5317828</v>
          </cell>
        </row>
        <row r="20">
          <cell r="C20">
            <v>6450</v>
          </cell>
        </row>
        <row r="30">
          <cell r="E30">
            <v>47036</v>
          </cell>
        </row>
        <row r="48">
          <cell r="C48">
            <v>3884</v>
          </cell>
        </row>
        <row r="63">
          <cell r="C63">
            <v>10674</v>
          </cell>
        </row>
        <row r="65">
          <cell r="C65">
            <v>45035.9</v>
          </cell>
        </row>
        <row r="66">
          <cell r="C66">
            <v>3884</v>
          </cell>
        </row>
        <row r="73">
          <cell r="C73">
            <v>11009</v>
          </cell>
        </row>
        <row r="80">
          <cell r="C80">
            <v>11009</v>
          </cell>
        </row>
        <row r="82">
          <cell r="C82">
            <v>3816</v>
          </cell>
        </row>
        <row r="87">
          <cell r="C87">
            <v>13129</v>
          </cell>
        </row>
        <row r="89">
          <cell r="C89">
            <v>6450</v>
          </cell>
        </row>
        <row r="101">
          <cell r="E101">
            <v>70964</v>
          </cell>
        </row>
        <row r="102">
          <cell r="E102">
            <v>33600</v>
          </cell>
        </row>
        <row r="108">
          <cell r="E108">
            <v>14822</v>
          </cell>
        </row>
        <row r="109">
          <cell r="E109">
            <v>56780</v>
          </cell>
        </row>
        <row r="110">
          <cell r="E110">
            <v>24755</v>
          </cell>
        </row>
        <row r="111">
          <cell r="E111">
            <v>89535</v>
          </cell>
        </row>
        <row r="112">
          <cell r="E112">
            <v>88830</v>
          </cell>
        </row>
        <row r="113">
          <cell r="E113">
            <v>22400</v>
          </cell>
        </row>
        <row r="114">
          <cell r="C114">
            <v>52682</v>
          </cell>
        </row>
        <row r="115">
          <cell r="E115">
            <v>113560</v>
          </cell>
        </row>
        <row r="126">
          <cell r="D126">
            <v>15958.5</v>
          </cell>
        </row>
      </sheetData>
      <sheetData sheetId="12" refreshError="1"/>
      <sheetData sheetId="13">
        <row r="13">
          <cell r="D13">
            <v>8</v>
          </cell>
        </row>
        <row r="16">
          <cell r="D16">
            <v>25</v>
          </cell>
        </row>
        <row r="17">
          <cell r="D17">
            <v>7</v>
          </cell>
        </row>
        <row r="19">
          <cell r="D19">
            <v>50</v>
          </cell>
        </row>
      </sheetData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retchen Sweeney" id="{59836BB7-B616-41C6-B81F-153FDE0576FE}" userId="S::gretchen.sweeney@uli.org::3cd205f4-d234-4f41-9ae9-d351ecd60fd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" dT="2020-12-08T21:23:20.15" personId="{59836BB7-B616-41C6-B81F-153FDE0576FE}" id="{6EA7B590-8B89-4FCB-B986-6019C110223C}">
    <text>Enter Team Code and then erase this comment. You can also add your team code by editing Page Layout &gt; Print Tiles &gt; Header.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M2" dT="2020-12-08T21:23:20.15" personId="{59836BB7-B616-41C6-B81F-153FDE0576FE}" id="{63516C7A-D723-4C98-8E0A-33E0E818A902}">
    <text>Enter Team Code and then erase this comment. You can also add your team code by editing Page Layout &gt; Print Tiles &gt; Header.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M1" dT="2020-12-08T21:23:20.15" personId="{59836BB7-B616-41C6-B81F-153FDE0576FE}" id="{C832E0B4-08DC-433F-8A3E-370882F51C04}">
    <text>Enter Team Code and then erase this comment. You can also add your team code by editing Page Layout &gt; Print Tiles &gt; Header.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2" dT="2020-12-08T21:23:20.15" personId="{59836BB7-B616-41C6-B81F-153FDE0576FE}" id="{05F0CC0A-6472-4896-B8C4-77CE23E41FBF}">
    <text>Enter Team Code and then erase this comment. You can also add your team code by editing Page Layout &gt; Print Tiles &gt; Header.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2" dT="2020-12-08T21:23:20.15" personId="{59836BB7-B616-41C6-B81F-153FDE0576FE}" id="{7337BE65-12C9-4E2F-99E7-949D5C449DD3}">
    <text>Enter Team Code and then erase this comment. You can also add your team code by editing Page Layout &gt; Print Tiles &gt; Header.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M2" dT="2020-12-08T21:23:20.15" personId="{59836BB7-B616-41C6-B81F-153FDE0576FE}" id="{729ACFC6-97FD-4063-9B10-D09FFDE32B6F}">
    <text>Enter Team Code and then erase this comment. You can also add your team code by editing Page Layout &gt; Print Tiles &gt; Header.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2" dT="2020-12-08T21:23:20.15" personId="{59836BB7-B616-41C6-B81F-153FDE0576FE}" id="{BBA01384-BDA7-4112-8C5E-D457C1E41ECC}">
    <text>Enter Team Code and then erase this comment. You can also add your team code by editing Page Layout &gt; Print Tiles &gt; Header.</text>
  </threadedComment>
  <threadedComment ref="M54" dT="2020-12-08T21:23:20.15" personId="{59836BB7-B616-41C6-B81F-153FDE0576FE}" id="{F6BF64D8-5B77-40EF-9DEB-E9A9090E9657}">
    <text>Enter Team Code and then erase this comment. You can also add your team code by editing Page Layout &gt; Print Tiles &gt; Header.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M1" dT="2020-12-08T21:23:20.15" personId="{59836BB7-B616-41C6-B81F-153FDE0576FE}" id="{021A0BBF-97DF-4A05-B921-77B0AB787D72}">
    <text>Enter Team Code and then erase this comment. You can also add your team code by editing Page Layout &gt; Print Tiles &gt; Header.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M2" dT="2020-12-08T21:23:20.15" personId="{59836BB7-B616-41C6-B81F-153FDE0576FE}" id="{D8C5E5E9-4EC4-4D59-BB9C-7F63D6F00072}">
    <text>Enter Team Code and then erase this comment. You can also add your team code by editing Page Layout &gt; Print Tiles &gt; Header.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M1" dT="2020-12-08T21:23:20.15" personId="{59836BB7-B616-41C6-B81F-153FDE0576FE}" id="{B8317A52-0318-4B5C-A8BC-675B3C1DB90E}">
    <text>Enter Team Code and then erase this comment. You can also add your team code by editing Page Layout &gt; Print Tiles &gt; Header.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M2" dT="2020-12-08T21:23:20.15" personId="{59836BB7-B616-41C6-B81F-153FDE0576FE}" id="{0F40D614-7EBF-4EF3-9E30-5AC443627312}">
    <text>Enter Team Code and then erase this comment. You can also add your team code by editing Page Layout &gt; Print Tiles &gt; Header.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"/>
  <sheetViews>
    <sheetView showGridLines="0" tabSelected="1" view="pageLayout" topLeftCell="A21" zoomScale="70" zoomScaleNormal="90" zoomScaleSheetLayoutView="100" zoomScalePageLayoutView="70" workbookViewId="0">
      <selection activeCell="O36" sqref="O36"/>
    </sheetView>
  </sheetViews>
  <sheetFormatPr defaultColWidth="9.140625" defaultRowHeight="12.75" x14ac:dyDescent="0.2"/>
  <cols>
    <col min="1" max="1" width="10.28515625" style="83" customWidth="1"/>
    <col min="2" max="2" width="22.5703125" style="83" customWidth="1"/>
    <col min="3" max="3" width="9.140625" style="83" customWidth="1"/>
    <col min="4" max="4" width="11.7109375" style="373" bestFit="1" customWidth="1"/>
    <col min="5" max="5" width="12" style="83" customWidth="1"/>
    <col min="6" max="6" width="12.28515625" style="83" bestFit="1" customWidth="1"/>
    <col min="7" max="7" width="12.7109375" style="83" customWidth="1"/>
    <col min="8" max="10" width="13.140625" style="83" bestFit="1" customWidth="1"/>
    <col min="11" max="11" width="11.7109375" style="83" customWidth="1"/>
    <col min="12" max="12" width="13.140625" style="83" bestFit="1" customWidth="1"/>
    <col min="13" max="13" width="14.28515625" style="83" bestFit="1" customWidth="1"/>
    <col min="14" max="14" width="12.7109375" style="83" customWidth="1"/>
    <col min="15" max="15" width="9.140625" style="83"/>
    <col min="16" max="16" width="13.42578125" style="83" bestFit="1" customWidth="1"/>
    <col min="17" max="16384" width="9.140625" style="83"/>
  </cols>
  <sheetData>
    <row r="1" spans="1:16" s="374" customFormat="1" x14ac:dyDescent="0.2">
      <c r="A1" s="432" t="s">
        <v>0</v>
      </c>
      <c r="B1" s="432"/>
      <c r="C1" s="432"/>
      <c r="D1" s="433"/>
      <c r="E1" s="434"/>
      <c r="F1" s="434"/>
      <c r="G1" s="434"/>
      <c r="H1" s="434"/>
      <c r="I1" s="434"/>
      <c r="J1" s="434"/>
      <c r="K1" s="434"/>
      <c r="L1" s="434"/>
      <c r="M1" s="434"/>
      <c r="N1" s="377" t="s">
        <v>1</v>
      </c>
    </row>
    <row r="2" spans="1:16" x14ac:dyDescent="0.2">
      <c r="A2" s="211"/>
      <c r="B2" s="211"/>
      <c r="C2" s="211"/>
      <c r="D2" s="112" t="s">
        <v>2</v>
      </c>
      <c r="E2" s="102" t="s">
        <v>115</v>
      </c>
      <c r="F2" s="103"/>
      <c r="G2" s="104"/>
      <c r="H2" s="105" t="s">
        <v>116</v>
      </c>
      <c r="I2" s="106"/>
      <c r="J2" s="107"/>
      <c r="K2" s="108" t="s">
        <v>117</v>
      </c>
      <c r="L2" s="109"/>
      <c r="M2" s="111"/>
      <c r="N2" s="110"/>
    </row>
    <row r="3" spans="1:16" x14ac:dyDescent="0.2">
      <c r="A3" s="4"/>
      <c r="B3" s="4"/>
      <c r="C3" s="4"/>
      <c r="D3" s="113" t="s">
        <v>4</v>
      </c>
      <c r="E3" s="82">
        <v>2023</v>
      </c>
      <c r="F3" s="81">
        <f>E3+1</f>
        <v>2024</v>
      </c>
      <c r="G3" s="81">
        <f t="shared" ref="G3:L3" si="0">F3+1</f>
        <v>2025</v>
      </c>
      <c r="H3" s="81">
        <f t="shared" si="0"/>
        <v>2026</v>
      </c>
      <c r="I3" s="81">
        <f t="shared" si="0"/>
        <v>2027</v>
      </c>
      <c r="J3" s="81">
        <f t="shared" si="0"/>
        <v>2028</v>
      </c>
      <c r="K3" s="81">
        <f t="shared" si="0"/>
        <v>2029</v>
      </c>
      <c r="L3" s="81">
        <f t="shared" si="0"/>
        <v>2030</v>
      </c>
      <c r="M3" s="96">
        <f>L3+1</f>
        <v>2031</v>
      </c>
      <c r="N3" s="81">
        <f>M3+1</f>
        <v>2032</v>
      </c>
    </row>
    <row r="4" spans="1:16" x14ac:dyDescent="0.2">
      <c r="A4" s="10" t="s">
        <v>5</v>
      </c>
      <c r="B4" s="10"/>
      <c r="C4" s="10"/>
      <c r="D4" s="378"/>
      <c r="E4" s="379"/>
      <c r="F4" s="116"/>
      <c r="G4" s="116"/>
      <c r="H4" s="116"/>
      <c r="I4" s="116"/>
      <c r="J4" s="116"/>
      <c r="K4" s="116"/>
      <c r="L4" s="116"/>
      <c r="M4" s="395"/>
      <c r="N4" s="395"/>
    </row>
    <row r="5" spans="1:16" x14ac:dyDescent="0.2">
      <c r="A5" s="115" t="s">
        <v>6</v>
      </c>
      <c r="B5" s="97" t="s">
        <v>7</v>
      </c>
      <c r="C5" s="97"/>
      <c r="D5" s="11"/>
      <c r="E5" s="396">
        <f>'2.Market-rate Rental Housing'!D22</f>
        <v>202865.99842335994</v>
      </c>
      <c r="F5" s="396">
        <f>'2.Market-rate Rental Housing'!E22</f>
        <v>372461.97310528881</v>
      </c>
      <c r="G5" s="396">
        <f>'2.Market-rate Rental Housing'!F22</f>
        <v>422123.56951932731</v>
      </c>
      <c r="H5" s="396">
        <f>'2.Market-rate Rental Housing'!G22</f>
        <v>1751702.5130545858</v>
      </c>
      <c r="I5" s="396">
        <f>'2.Market-rate Rental Housing'!H22</f>
        <v>3134295.7649034481</v>
      </c>
      <c r="J5" s="396">
        <f>'2.Market-rate Rental Housing'!I22</f>
        <v>3884236.8730112789</v>
      </c>
      <c r="K5" s="396">
        <f>'2.Market-rate Rental Housing'!J22</f>
        <v>3961921.6104715038</v>
      </c>
      <c r="L5" s="396">
        <f>'2.Market-rate Rental Housing'!K22</f>
        <v>4041160.0426809341</v>
      </c>
      <c r="M5" s="396">
        <f>'2.Market-rate Rental Housing'!L22</f>
        <v>4121983.2435345538</v>
      </c>
      <c r="N5" s="396">
        <f>'2.Market-rate Rental Housing'!M22</f>
        <v>4204422.9084052444</v>
      </c>
    </row>
    <row r="6" spans="1:16" x14ac:dyDescent="0.2">
      <c r="A6" s="115" t="s">
        <v>6</v>
      </c>
      <c r="B6" s="97" t="s">
        <v>8</v>
      </c>
      <c r="C6" s="97"/>
      <c r="D6" s="11"/>
      <c r="E6" s="396">
        <f>'3.Market-rate For-Sale Housing'!D22</f>
        <v>10851931.795040002</v>
      </c>
      <c r="F6" s="396">
        <f>'3.Market-rate For-Sale Housing'!E22</f>
        <v>38741396.508292809</v>
      </c>
      <c r="G6" s="396">
        <f>'3.Market-rate For-Sale Housing'!F22</f>
        <v>5645174.9197798148</v>
      </c>
      <c r="H6" s="396">
        <f>'3.Market-rate For-Sale Housing'!G22</f>
        <v>0</v>
      </c>
      <c r="I6" s="396">
        <f>'3.Market-rate For-Sale Housing'!H22</f>
        <v>0</v>
      </c>
      <c r="J6" s="396">
        <f>'3.Market-rate For-Sale Housing'!I22</f>
        <v>0</v>
      </c>
      <c r="K6" s="396">
        <f>'3.Market-rate For-Sale Housing'!J22</f>
        <v>17605728.0578463</v>
      </c>
      <c r="L6" s="396">
        <f>'3.Market-rate For-Sale Housing'!K22</f>
        <v>5130812.1768580666</v>
      </c>
      <c r="M6" s="396">
        <f>'3.Market-rate For-Sale Housing'!L22</f>
        <v>2616714.2101976136</v>
      </c>
      <c r="N6" s="396">
        <f>'3.Market-rate For-Sale Housing'!M22</f>
        <v>0</v>
      </c>
    </row>
    <row r="7" spans="1:16" x14ac:dyDescent="0.2">
      <c r="A7" s="115" t="s">
        <v>9</v>
      </c>
      <c r="B7" s="97" t="s">
        <v>7</v>
      </c>
      <c r="C7" s="97"/>
      <c r="D7" s="11"/>
      <c r="E7" s="396">
        <f>'4.Affordable Rental Housing'!D33</f>
        <v>81946.72164782937</v>
      </c>
      <c r="F7" s="396">
        <f>'4.Affordable Rental Housing'!E33</f>
        <v>150454.18094541467</v>
      </c>
      <c r="G7" s="396">
        <f>'4.Affordable Rental Housing'!F33</f>
        <v>170514.73840480336</v>
      </c>
      <c r="H7" s="396">
        <f>'4.Affordable Rental Housing'!G33</f>
        <v>707591.60905575391</v>
      </c>
      <c r="I7" s="396">
        <f>'4.Affordable Rental Housing'!H33</f>
        <v>1266083.3486373809</v>
      </c>
      <c r="J7" s="396">
        <f>'4.Affordable Rental Housing'!I33</f>
        <v>1569018.3683843894</v>
      </c>
      <c r="K7" s="396">
        <f>'4.Affordable Rental Housing'!J33</f>
        <v>1600398.7357520775</v>
      </c>
      <c r="L7" s="396">
        <f>'4.Affordable Rental Housing'!K33</f>
        <v>1632406.7104671192</v>
      </c>
      <c r="M7" s="396">
        <f>'4.Affordable Rental Housing'!L33</f>
        <v>1665054.8446764615</v>
      </c>
      <c r="N7" s="396">
        <f>'4.Affordable Rental Housing'!M33</f>
        <v>1698355.9415699905</v>
      </c>
    </row>
    <row r="8" spans="1:16" x14ac:dyDescent="0.2">
      <c r="A8" s="808" t="s">
        <v>10</v>
      </c>
      <c r="B8" s="808"/>
      <c r="C8" s="97"/>
      <c r="D8" s="11"/>
      <c r="E8" s="396">
        <f>'6.Office_Commercial'!D34+'6.Office_Commercial'!D85</f>
        <v>388822.94884409988</v>
      </c>
      <c r="F8" s="396">
        <f>'6.Office_Commercial'!E34+'6.Office_Commercial'!E85</f>
        <v>935197.0360039575</v>
      </c>
      <c r="G8" s="396">
        <f>'6.Office_Commercial'!F34+'6.Office_Commercial'!F85</f>
        <v>1376713.4206843388</v>
      </c>
      <c r="H8" s="396">
        <f>'6.Office_Commercial'!G34+'6.Office_Commercial'!G85</f>
        <v>1481959.4393187873</v>
      </c>
      <c r="I8" s="396">
        <f>'6.Office_Commercial'!H34+'6.Office_Commercial'!H85</f>
        <v>1592643.3884573372</v>
      </c>
      <c r="J8" s="396">
        <f>'6.Office_Commercial'!I34+'6.Office_Commercial'!I85</f>
        <v>1674736.412704994</v>
      </c>
      <c r="K8" s="396">
        <f>'6.Office_Commercial'!J34+'6.Office_Commercial'!J85</f>
        <v>2117815.8602603553</v>
      </c>
      <c r="L8" s="396">
        <f>'6.Office_Commercial'!K34+'6.Office_Commercial'!K85</f>
        <v>2483899.3541877773</v>
      </c>
      <c r="M8" s="396">
        <f>'6.Office_Commercial'!L34+'6.Office_Commercial'!L85</f>
        <v>2764846.5979776387</v>
      </c>
      <c r="N8" s="396">
        <f>'6.Office_Commercial'!M34+'6.Office_Commercial'!M85</f>
        <v>2952182.0227920553</v>
      </c>
    </row>
    <row r="9" spans="1:16" x14ac:dyDescent="0.2">
      <c r="A9" s="808" t="s">
        <v>11</v>
      </c>
      <c r="B9" s="808"/>
      <c r="C9" s="97"/>
      <c r="D9" s="11"/>
      <c r="E9" s="404">
        <f>'7.Market-rate Retail'!D35</f>
        <v>180338.38137508329</v>
      </c>
      <c r="F9" s="404">
        <f>'7.Market-rate Retail'!E35</f>
        <v>448817.36128114309</v>
      </c>
      <c r="G9" s="404">
        <f>'7.Market-rate Retail'!F35</f>
        <v>682008.17445030017</v>
      </c>
      <c r="H9" s="404">
        <f>'7.Market-rate Retail'!G35</f>
        <v>930763.03115963121</v>
      </c>
      <c r="I9" s="404">
        <f>'7.Market-rate Retail'!H35</f>
        <v>1204670.756407378</v>
      </c>
      <c r="J9" s="404">
        <f>'7.Market-rate Retail'!I35</f>
        <v>1388647.3797018083</v>
      </c>
      <c r="K9" s="404">
        <f>'7.Market-rate Retail'!J35</f>
        <v>1486088.9913401057</v>
      </c>
      <c r="L9" s="404">
        <f>'7.Market-rate Retail'!K35</f>
        <v>1581642.7757676782</v>
      </c>
      <c r="M9" s="404">
        <f>'7.Market-rate Retail'!L35</f>
        <v>1680512.5019213287</v>
      </c>
      <c r="N9" s="404">
        <f>'7.Market-rate Retail'!M35</f>
        <v>1763957.4346841995</v>
      </c>
      <c r="P9" s="801"/>
    </row>
    <row r="10" spans="1:16" x14ac:dyDescent="0.2">
      <c r="A10" s="808" t="s">
        <v>12</v>
      </c>
      <c r="B10" s="808"/>
      <c r="C10" s="97"/>
      <c r="D10" s="11"/>
      <c r="E10" s="396">
        <f>'9.Underground Parking'!D100</f>
        <v>5560009.1286754413</v>
      </c>
      <c r="F10" s="396">
        <f>'9.Underground Parking'!E100</f>
        <v>11663083.404152121</v>
      </c>
      <c r="G10" s="396">
        <f>'9.Underground Parking'!F100</f>
        <v>12223423.14952247</v>
      </c>
      <c r="H10" s="396">
        <f>'9.Underground Parking'!G100</f>
        <v>2235148.3369021034</v>
      </c>
      <c r="I10" s="396">
        <f>'9.Underground Parking'!H100</f>
        <v>4675158.9803053373</v>
      </c>
      <c r="J10" s="396">
        <f>'9.Underground Parking'!I100</f>
        <v>4886427.6603969894</v>
      </c>
      <c r="K10" s="396">
        <f>'9.Underground Parking'!J100</f>
        <v>4239802.8616586458</v>
      </c>
      <c r="L10" s="396">
        <f>'9.Underground Parking'!K100</f>
        <v>6329773.4244697634</v>
      </c>
      <c r="M10" s="396">
        <f>'9.Underground Parking'!L100</f>
        <v>6544564.5886540459</v>
      </c>
      <c r="N10" s="396">
        <f>'9.Underground Parking'!M100</f>
        <v>4554193.8256005431</v>
      </c>
    </row>
    <row r="11" spans="1:16" x14ac:dyDescent="0.2">
      <c r="A11" s="115" t="s">
        <v>6</v>
      </c>
      <c r="B11" s="97" t="s">
        <v>323</v>
      </c>
      <c r="C11" s="123"/>
      <c r="D11" s="9"/>
      <c r="E11" s="411">
        <f>'10.Market-rate Institutional'!D35</f>
        <v>1763828.8650000002</v>
      </c>
      <c r="F11" s="411">
        <f>'10.Market-rate Institutional'!E35</f>
        <v>4231386.250938002</v>
      </c>
      <c r="G11" s="411">
        <f>'10.Market-rate Institutional'!F35</f>
        <v>6213526.5798468012</v>
      </c>
      <c r="H11" s="411">
        <f>'10.Market-rate Institutional'!G35</f>
        <v>6385562.4080637321</v>
      </c>
      <c r="I11" s="411">
        <f>'10.Market-rate Institutional'!H35</f>
        <v>6561011.9209850114</v>
      </c>
      <c r="J11" s="411">
        <f>'10.Market-rate Institutional'!I35</f>
        <v>6739943.3923047129</v>
      </c>
      <c r="K11" s="411">
        <f>'10.Market-rate Institutional'!J35</f>
        <v>12157144.728187729</v>
      </c>
      <c r="L11" s="411">
        <f>'10.Market-rate Institutional'!K35</f>
        <v>16784343.674641766</v>
      </c>
      <c r="M11" s="411">
        <f>'10.Market-rate Institutional'!L35</f>
        <v>18115529.087989122</v>
      </c>
      <c r="N11" s="411">
        <f>'10.Market-rate Institutional'!M35</f>
        <v>18822611.715432905</v>
      </c>
    </row>
    <row r="12" spans="1:16" x14ac:dyDescent="0.2">
      <c r="A12" s="813" t="s">
        <v>14</v>
      </c>
      <c r="B12" s="813"/>
      <c r="C12" s="386"/>
      <c r="D12" s="4"/>
      <c r="E12" s="405">
        <f>SUM(E5:E11)</f>
        <v>19029743.839005813</v>
      </c>
      <c r="F12" s="405">
        <f t="shared" ref="F12:N12" si="1">SUM(F5:F11)</f>
        <v>56542796.714718729</v>
      </c>
      <c r="G12" s="405">
        <f t="shared" si="1"/>
        <v>26733484.552207857</v>
      </c>
      <c r="H12" s="405">
        <f t="shared" si="1"/>
        <v>13492727.337554593</v>
      </c>
      <c r="I12" s="405">
        <f t="shared" si="1"/>
        <v>18433864.159695894</v>
      </c>
      <c r="J12" s="405">
        <f t="shared" si="1"/>
        <v>20143010.086504173</v>
      </c>
      <c r="K12" s="405">
        <f t="shared" si="1"/>
        <v>43168900.845516711</v>
      </c>
      <c r="L12" s="405">
        <f t="shared" si="1"/>
        <v>37984038.159073107</v>
      </c>
      <c r="M12" s="405">
        <f t="shared" si="1"/>
        <v>37509205.074950762</v>
      </c>
      <c r="N12" s="405">
        <f t="shared" si="1"/>
        <v>33995723.848484933</v>
      </c>
    </row>
    <row r="13" spans="1:16" x14ac:dyDescent="0.2">
      <c r="A13" s="381"/>
      <c r="B13" s="382"/>
      <c r="C13" s="382"/>
      <c r="D13" s="383"/>
      <c r="E13" s="384"/>
      <c r="F13" s="385"/>
      <c r="G13" s="385"/>
      <c r="H13" s="385"/>
      <c r="I13" s="385"/>
      <c r="J13" s="385"/>
      <c r="K13" s="385"/>
      <c r="L13" s="385"/>
      <c r="M13" s="400"/>
      <c r="N13" s="400"/>
    </row>
    <row r="14" spans="1:16" x14ac:dyDescent="0.2">
      <c r="A14" s="10" t="s">
        <v>15</v>
      </c>
      <c r="B14" s="10"/>
      <c r="C14" s="10"/>
      <c r="D14" s="378"/>
      <c r="E14" s="379"/>
      <c r="F14" s="116"/>
      <c r="G14" s="116"/>
      <c r="H14" s="116"/>
      <c r="I14" s="116"/>
      <c r="J14" s="116"/>
      <c r="K14" s="116"/>
      <c r="L14" s="116"/>
      <c r="M14" s="395"/>
      <c r="N14" s="395"/>
    </row>
    <row r="15" spans="1:16" x14ac:dyDescent="0.2">
      <c r="A15" s="115" t="s">
        <v>6</v>
      </c>
      <c r="B15" s="97" t="s">
        <v>7</v>
      </c>
      <c r="C15" s="97"/>
      <c r="D15" s="396"/>
      <c r="E15" s="396">
        <f>'2.Market-rate Rental Housing'!D36</f>
        <v>-2105906.6880000001</v>
      </c>
      <c r="F15" s="396">
        <f>'2.Market-rate Rental Housing'!E36</f>
        <v>-1718419.8574080004</v>
      </c>
      <c r="G15" s="396">
        <f>'2.Market-rate Rental Housing'!F36</f>
        <v>-438197.06363903999</v>
      </c>
      <c r="H15" s="396">
        <f>'2.Market-rate Rental Housing'!G36</f>
        <v>-13714423.08752241</v>
      </c>
      <c r="I15" s="396">
        <f>'2.Market-rate Rental Housing'!H36</f>
        <v>-13988711.549272859</v>
      </c>
      <c r="J15" s="396">
        <f>'2.Market-rate Rental Housing'!I36</f>
        <v>-7134242.8901291564</v>
      </c>
      <c r="K15" s="396">
        <f>'2.Market-rate Rental Housing'!J36</f>
        <v>0</v>
      </c>
      <c r="L15" s="396">
        <f>'2.Market-rate Rental Housing'!K36</f>
        <v>0</v>
      </c>
      <c r="M15" s="396">
        <f>'2.Market-rate Rental Housing'!L36</f>
        <v>0</v>
      </c>
      <c r="N15" s="396">
        <f>'2.Market-rate Rental Housing'!M36</f>
        <v>0</v>
      </c>
    </row>
    <row r="16" spans="1:16" x14ac:dyDescent="0.2">
      <c r="A16" s="115" t="s">
        <v>6</v>
      </c>
      <c r="B16" s="97" t="s">
        <v>8</v>
      </c>
      <c r="C16" s="97"/>
      <c r="D16" s="396"/>
      <c r="E16" s="396">
        <f>'3.Market-rate For-Sale Housing'!D32</f>
        <v>-25479334.800000001</v>
      </c>
      <c r="F16" s="396">
        <f>'3.Market-rate For-Sale Housing'!E32</f>
        <v>-20791137.196800001</v>
      </c>
      <c r="G16" s="396">
        <f>'3.Market-rate For-Sale Housing'!F32</f>
        <v>-5301739.9851839999</v>
      </c>
      <c r="H16" s="396">
        <f>'3.Market-rate For-Sale Housing'!G32</f>
        <v>0</v>
      </c>
      <c r="I16" s="396">
        <f>'3.Market-rate For-Sale Housing'!H32</f>
        <v>0</v>
      </c>
      <c r="J16" s="396">
        <f>'3.Market-rate For-Sale Housing'!I32</f>
        <v>0</v>
      </c>
      <c r="K16" s="396">
        <f>'3.Market-rate For-Sale Housing'!J32</f>
        <v>-10629417.962504661</v>
      </c>
      <c r="L16" s="396">
        <f>'3.Market-rate For-Sale Housing'!K32</f>
        <v>-12046673.690838616</v>
      </c>
      <c r="M16" s="396">
        <f>'3.Market-rate For-Sale Housing'!L32</f>
        <v>-737256.42987932311</v>
      </c>
      <c r="N16" s="396">
        <f>'3.Market-rate For-Sale Housing'!M32</f>
        <v>-501334.37231793988</v>
      </c>
    </row>
    <row r="17" spans="1:16" x14ac:dyDescent="0.2">
      <c r="A17" s="115" t="s">
        <v>9</v>
      </c>
      <c r="B17" s="97" t="s">
        <v>7</v>
      </c>
      <c r="C17" s="123"/>
      <c r="D17" s="396"/>
      <c r="E17" s="396">
        <f>'4.Affordable Rental Housing'!D37</f>
        <v>-672720.19199999992</v>
      </c>
      <c r="F17" s="396">
        <f>'4.Affordable Rental Housing'!E37</f>
        <v>-439151.74133760005</v>
      </c>
      <c r="G17" s="396">
        <f>'4.Affordable Rental Housing'!F37</f>
        <v>-27995.92351027199</v>
      </c>
      <c r="H17" s="396">
        <f>'4.Affordable Rental Housing'!G37</f>
        <v>-3504797.0112557267</v>
      </c>
      <c r="I17" s="396">
        <f>'4.Affordable Rental Housing'!H37</f>
        <v>-3574892.9514808413</v>
      </c>
      <c r="J17" s="396">
        <f>'4.Affordable Rental Housing'!I37</f>
        <v>-911597.70262761414</v>
      </c>
      <c r="K17" s="396">
        <f>'4.Affordable Rental Housing'!J37</f>
        <v>0</v>
      </c>
      <c r="L17" s="396">
        <f>'4.Affordable Rental Housing'!K37</f>
        <v>0</v>
      </c>
      <c r="M17" s="396">
        <f>'4.Affordable Rental Housing'!L37</f>
        <v>0</v>
      </c>
      <c r="N17" s="396">
        <f>'4.Affordable Rental Housing'!M37</f>
        <v>0</v>
      </c>
    </row>
    <row r="18" spans="1:16" x14ac:dyDescent="0.2">
      <c r="A18" s="413"/>
      <c r="B18" s="677" t="s">
        <v>624</v>
      </c>
      <c r="C18" s="123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</row>
    <row r="19" spans="1:16" x14ac:dyDescent="0.2">
      <c r="A19" s="808" t="s">
        <v>10</v>
      </c>
      <c r="B19" s="808"/>
      <c r="C19" s="97"/>
      <c r="D19" s="396"/>
      <c r="E19" s="396">
        <f>'6.Office_Commercial'!D38+'6.Office_Commercial'!D89</f>
        <v>-5915215.2527999999</v>
      </c>
      <c r="F19" s="396">
        <f>'6.Office_Commercial'!E38+'6.Office_Commercial'!E89</f>
        <v>-8044692.7438080013</v>
      </c>
      <c r="G19" s="396">
        <f>'6.Office_Commercial'!F38+'6.Office_Commercial'!F89</f>
        <v>-6154189.9490131214</v>
      </c>
      <c r="H19" s="396">
        <f>'6.Office_Commercial'!G38+'6.Office_Commercial'!G89</f>
        <v>-688193.30819715839</v>
      </c>
      <c r="I19" s="396">
        <f>'6.Office_Commercial'!H38+'6.Office_Commercial'!H89</f>
        <v>-701957.1743611017</v>
      </c>
      <c r="J19" s="396">
        <f>'6.Office_Commercial'!I38+'6.Office_Commercial'!I89</f>
        <v>-357998.15892416175</v>
      </c>
      <c r="K19" s="396">
        <f>'6.Office_Commercial'!J38+'6.Office_Commercial'!J89</f>
        <v>-5520446.910002036</v>
      </c>
      <c r="L19" s="396">
        <f>'6.Office_Commercial'!K38+'6.Office_Commercial'!K89</f>
        <v>-4223141.8861515578</v>
      </c>
      <c r="M19" s="396">
        <f>'6.Office_Commercial'!L38+'6.Office_Commercial'!L89</f>
        <v>-2871736.4825830595</v>
      </c>
      <c r="N19" s="396">
        <f>'6.Office_Commercial'!M38+'6.Office_Commercial'!M89</f>
        <v>-1464585.6061173605</v>
      </c>
    </row>
    <row r="20" spans="1:16" x14ac:dyDescent="0.2">
      <c r="A20" s="808" t="s">
        <v>16</v>
      </c>
      <c r="B20" s="808"/>
      <c r="C20" s="97"/>
      <c r="D20" s="396"/>
      <c r="E20" s="396">
        <f>'7.Market-rate Retail'!D39</f>
        <v>-3482025.4079999998</v>
      </c>
      <c r="F20" s="396">
        <f>'7.Market-rate Retail'!E39</f>
        <v>-4642700.5440000007</v>
      </c>
      <c r="G20" s="396">
        <f>'7.Market-rate Retail'!F39</f>
        <v>-3482025.4079999994</v>
      </c>
      <c r="H20" s="396">
        <f>'7.Market-rate Retail'!G39</f>
        <v>-3321603.0720000006</v>
      </c>
      <c r="I20" s="396">
        <f>'7.Market-rate Retail'!H39</f>
        <v>-3321603.0720000006</v>
      </c>
      <c r="J20" s="396">
        <f>'7.Market-rate Retail'!I39</f>
        <v>-1660801.5360000001</v>
      </c>
      <c r="K20" s="396">
        <f>'7.Market-rate Retail'!J39</f>
        <v>-293760</v>
      </c>
      <c r="L20" s="396">
        <f>'7.Market-rate Retail'!K39</f>
        <v>-220320</v>
      </c>
      <c r="M20" s="396">
        <f>'7.Market-rate Retail'!L39</f>
        <v>-220320</v>
      </c>
      <c r="N20" s="396">
        <f>'7.Market-rate Retail'!M39</f>
        <v>0</v>
      </c>
    </row>
    <row r="21" spans="1:16" x14ac:dyDescent="0.2">
      <c r="A21" s="808" t="s">
        <v>12</v>
      </c>
      <c r="B21" s="808"/>
      <c r="C21" s="97"/>
      <c r="D21" s="396"/>
      <c r="E21" s="396">
        <f>'9.Underground Parking'!D104</f>
        <v>-8623987.1999999993</v>
      </c>
      <c r="F21" s="396">
        <f>'9.Underground Parking'!E104</f>
        <v>-17247974.399999999</v>
      </c>
      <c r="G21" s="396">
        <f>'9.Underground Parking'!F104</f>
        <v>-17247974.399999999</v>
      </c>
      <c r="H21" s="396">
        <f>'9.Underground Parking'!G104</f>
        <v>-2605178.8799999999</v>
      </c>
      <c r="I21" s="396">
        <f>'9.Underground Parking'!H104</f>
        <v>-5210357.7599999998</v>
      </c>
      <c r="J21" s="396">
        <f>'9.Underground Parking'!I104</f>
        <v>-5210357.7599999988</v>
      </c>
      <c r="K21" s="396">
        <f>'9.Underground Parking'!J104</f>
        <v>-5270146.5599999996</v>
      </c>
      <c r="L21" s="396">
        <f>'9.Underground Parking'!K104</f>
        <v>-7582659.8399999999</v>
      </c>
      <c r="M21" s="396">
        <f>'9.Underground Parking'!L104</f>
        <v>-7518147.8399999999</v>
      </c>
      <c r="N21" s="396">
        <f>'9.Underground Parking'!M104</f>
        <v>-5012098.5599999996</v>
      </c>
    </row>
    <row r="22" spans="1:16" x14ac:dyDescent="0.2">
      <c r="A22" s="115" t="s">
        <v>6</v>
      </c>
      <c r="B22" s="97" t="s">
        <v>323</v>
      </c>
      <c r="C22" s="97"/>
      <c r="D22" s="396"/>
      <c r="E22" s="396">
        <f>'10.Market-rate Institutional'!D39</f>
        <v>-8823199.1039999984</v>
      </c>
      <c r="F22" s="396">
        <f>'10.Market-rate Institutional'!E39</f>
        <v>-11999550.781440001</v>
      </c>
      <c r="G22" s="396">
        <f>'10.Market-rate Institutional'!F39</f>
        <v>-9179656.3478016034</v>
      </c>
      <c r="H22" s="396">
        <f>'10.Market-rate Institutional'!G39</f>
        <v>0</v>
      </c>
      <c r="I22" s="396">
        <f>'10.Market-rate Institutional'!H39</f>
        <v>0</v>
      </c>
      <c r="J22" s="396">
        <f>'10.Market-rate Institutional'!I39</f>
        <v>0</v>
      </c>
      <c r="K22" s="396">
        <f>'10.Market-rate Institutional'!J39</f>
        <v>-25046140.790308271</v>
      </c>
      <c r="L22" s="396">
        <f>'10.Market-rate Institutional'!K39</f>
        <v>-20437650.884891551</v>
      </c>
      <c r="M22" s="396">
        <f>'10.Market-rate Institutional'!L39</f>
        <v>-4169280.7805178761</v>
      </c>
      <c r="N22" s="396"/>
    </row>
    <row r="23" spans="1:16" x14ac:dyDescent="0.2">
      <c r="A23" s="413"/>
      <c r="B23" s="97" t="s">
        <v>600</v>
      </c>
      <c r="C23" s="97"/>
      <c r="D23" s="396"/>
      <c r="E23" s="396">
        <f>(E19+E16)*4.5%</f>
        <v>-1412754.7523759999</v>
      </c>
      <c r="F23" s="396">
        <f t="shared" ref="F23:N23" si="2">(F19+F16)*4.5%</f>
        <v>-1297612.34732736</v>
      </c>
      <c r="G23" s="396">
        <f t="shared" si="2"/>
        <v>-515516.84703887039</v>
      </c>
      <c r="H23" s="396">
        <f t="shared" si="2"/>
        <v>-30968.698868872125</v>
      </c>
      <c r="I23" s="396">
        <f t="shared" si="2"/>
        <v>-31588.072846249575</v>
      </c>
      <c r="J23" s="396">
        <f t="shared" si="2"/>
        <v>-16109.917151587279</v>
      </c>
      <c r="K23" s="396">
        <f t="shared" si="2"/>
        <v>-726743.9192628013</v>
      </c>
      <c r="L23" s="396">
        <f t="shared" si="2"/>
        <v>-732141.70096455782</v>
      </c>
      <c r="M23" s="396">
        <f t="shared" si="2"/>
        <v>-162404.6810608072</v>
      </c>
      <c r="N23" s="396">
        <f t="shared" si="2"/>
        <v>-88466.399029588516</v>
      </c>
    </row>
    <row r="24" spans="1:16" x14ac:dyDescent="0.2">
      <c r="A24" s="97"/>
      <c r="B24" s="97" t="s">
        <v>17</v>
      </c>
      <c r="C24" s="97"/>
      <c r="D24" s="396">
        <f>Budget!D5</f>
        <v>0</v>
      </c>
      <c r="E24" s="396"/>
      <c r="F24" s="396"/>
      <c r="G24" s="396"/>
      <c r="H24" s="396"/>
      <c r="I24" s="396"/>
      <c r="J24" s="396"/>
      <c r="K24" s="396"/>
      <c r="L24" s="396"/>
      <c r="M24" s="396"/>
      <c r="N24" s="396"/>
    </row>
    <row r="25" spans="1:16" x14ac:dyDescent="0.2">
      <c r="A25" s="808" t="s">
        <v>18</v>
      </c>
      <c r="B25" s="808"/>
      <c r="C25" s="97"/>
      <c r="D25" s="396"/>
      <c r="E25" s="396">
        <f>-1*('1.Infrastructure Costs'!F11+'1.Infrastructure Costs'!F14+'1.Infrastructure Costs'!F15+'1.Infrastructure Costs'!F16+'1.Infrastructure Costs'!F17+'1.Infrastructure Costs'!F18+'1.Infrastructure Costs'!F19+'1.Infrastructure Costs'!F20+'1.Infrastructure Costs'!F21)</f>
        <v>-1138270.2433333332</v>
      </c>
      <c r="F25" s="396">
        <f>-1*('1.Infrastructure Costs'!G11+'1.Infrastructure Costs'!G14+'1.Infrastructure Costs'!G15+'1.Infrastructure Costs'!G16+'1.Infrastructure Costs'!G17+'1.Infrastructure Costs'!G18+'1.Infrastructure Costs'!G19+'1.Infrastructure Costs'!G20+'1.Infrastructure Costs'!G21)</f>
        <v>-3799070.9933333336</v>
      </c>
      <c r="G25" s="396">
        <f>-1*('1.Infrastructure Costs'!H11+'1.Infrastructure Costs'!H14+'1.Infrastructure Costs'!H15+'1.Infrastructure Costs'!H16+'1.Infrastructure Costs'!H17+'1.Infrastructure Costs'!H18+'1.Infrastructure Costs'!H19+'1.Infrastructure Costs'!H20+'1.Infrastructure Costs'!H21)</f>
        <v>-3574716.0833333335</v>
      </c>
      <c r="H25" s="396">
        <f>-1*('1.Infrastructure Costs'!I11+'1.Infrastructure Costs'!I14+'1.Infrastructure Costs'!I15+'1.Infrastructure Costs'!I16+'1.Infrastructure Costs'!I17+'1.Infrastructure Costs'!I18+'1.Infrastructure Costs'!I19+'1.Infrastructure Costs'!I20+'1.Infrastructure Costs'!I21)</f>
        <v>-1228485.3666666667</v>
      </c>
      <c r="I25" s="396">
        <f>-1*('1.Infrastructure Costs'!J11+'1.Infrastructure Costs'!J14+'1.Infrastructure Costs'!J15+'1.Infrastructure Costs'!J16+'1.Infrastructure Costs'!J17+'1.Infrastructure Costs'!J18+'1.Infrastructure Costs'!J19+'1.Infrastructure Costs'!J20+'1.Infrastructure Costs'!J21)</f>
        <v>-7969853.1166666681</v>
      </c>
      <c r="J25" s="396">
        <f>-1*('1.Infrastructure Costs'!K11+'1.Infrastructure Costs'!K14+'1.Infrastructure Costs'!K15+'1.Infrastructure Costs'!K16+'1.Infrastructure Costs'!K17+'1.Infrastructure Costs'!K18+'1.Infrastructure Costs'!K19+'1.Infrastructure Costs'!K20+'1.Infrastructure Costs'!K21)</f>
        <v>-6852224.4166666679</v>
      </c>
      <c r="K25" s="396">
        <f>-1*('1.Infrastructure Costs'!L11+'1.Infrastructure Costs'!L14+'1.Infrastructure Costs'!L15+'1.Infrastructure Costs'!L16+'1.Infrastructure Costs'!L17+'1.Infrastructure Costs'!L18+'1.Infrastructure Costs'!L19+'1.Infrastructure Costs'!L20+'1.Infrastructure Costs'!L21)</f>
        <v>-382925.41</v>
      </c>
      <c r="L25" s="396">
        <f>-1*('1.Infrastructure Costs'!M11+'1.Infrastructure Costs'!M14+'1.Infrastructure Costs'!M15+'1.Infrastructure Costs'!M16+'1.Infrastructure Costs'!M17+'1.Infrastructure Costs'!M18+'1.Infrastructure Costs'!M19+'1.Infrastructure Costs'!M20+'1.Infrastructure Costs'!M21)</f>
        <v>-1131585.6600000001</v>
      </c>
      <c r="M25" s="396">
        <f>-1*('1.Infrastructure Costs'!N11+'1.Infrastructure Costs'!N14+'1.Infrastructure Costs'!N15+'1.Infrastructure Costs'!N16+'1.Infrastructure Costs'!N17+'1.Infrastructure Costs'!N18+'1.Infrastructure Costs'!N19+'1.Infrastructure Costs'!N20+'1.Infrastructure Costs'!N21)</f>
        <v>-847702.75000000012</v>
      </c>
      <c r="N25" s="396">
        <f>-1*('1.Infrastructure Costs'!O11+'1.Infrastructure Costs'!O14+'1.Infrastructure Costs'!O15+'1.Infrastructure Costs'!O16+'1.Infrastructure Costs'!O17+'1.Infrastructure Costs'!O18+'1.Infrastructure Costs'!O19+'1.Infrastructure Costs'!O20+'1.Infrastructure Costs'!O21)</f>
        <v>-847702.75000000012</v>
      </c>
    </row>
    <row r="26" spans="1:16" x14ac:dyDescent="0.2">
      <c r="A26" s="27"/>
      <c r="B26" s="27"/>
      <c r="C26" s="27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</row>
    <row r="27" spans="1:16" x14ac:dyDescent="0.2">
      <c r="A27" s="27"/>
      <c r="B27" s="27" t="s">
        <v>190</v>
      </c>
      <c r="C27" s="27"/>
      <c r="D27" s="396"/>
      <c r="E27" s="396">
        <f>-1*('1.Infrastructure Costs'!F10+'1.Infrastructure Costs'!F12+'1.Infrastructure Costs'!F13)</f>
        <v>-2257621.3333333335</v>
      </c>
      <c r="F27" s="396">
        <f>-1*('1.Infrastructure Costs'!G10+'1.Infrastructure Costs'!G12+'1.Infrastructure Costs'!G13)</f>
        <v>-13333.333333333332</v>
      </c>
      <c r="G27" s="396">
        <f>-1*('1.Infrastructure Costs'!H10+'1.Infrastructure Costs'!H12+'1.Infrastructure Costs'!H13)</f>
        <v>-13333.333333333332</v>
      </c>
      <c r="H27" s="396">
        <f>-1*('1.Infrastructure Costs'!I10+'1.Infrastructure Costs'!I12+'1.Infrastructure Costs'!I13)</f>
        <v>-1664230.9333333331</v>
      </c>
      <c r="I27" s="396">
        <f>-1*('1.Infrastructure Costs'!J10+'1.Infrastructure Costs'!J12+'1.Infrastructure Costs'!J13)</f>
        <v>-373620.53333333333</v>
      </c>
      <c r="J27" s="396">
        <f>-1*('1.Infrastructure Costs'!K10+'1.Infrastructure Costs'!K12+'1.Infrastructure Costs'!K13)</f>
        <v>-13333.333333333332</v>
      </c>
      <c r="K27" s="396">
        <f>-1*('1.Infrastructure Costs'!L10+'1.Infrastructure Costs'!L12+'1.Infrastructure Costs'!L13)</f>
        <v>-1249424</v>
      </c>
      <c r="L27" s="396">
        <f>-1*('1.Infrastructure Costs'!M10+'1.Infrastructure Costs'!M12+'1.Infrastructure Costs'!M13)</f>
        <v>-10000</v>
      </c>
      <c r="M27" s="396">
        <f>-1*('1.Infrastructure Costs'!N10+'1.Infrastructure Costs'!N12+'1.Infrastructure Costs'!N13)</f>
        <v>-10000</v>
      </c>
      <c r="N27" s="396">
        <f>-1*('1.Infrastructure Costs'!O10+'1.Infrastructure Costs'!O12+'1.Infrastructure Costs'!O13)</f>
        <v>-10000</v>
      </c>
    </row>
    <row r="28" spans="1:16" x14ac:dyDescent="0.2">
      <c r="A28" s="27"/>
      <c r="B28" s="27" t="s">
        <v>537</v>
      </c>
      <c r="C28" s="27"/>
      <c r="D28" s="396">
        <f>Budget!D8*-1</f>
        <v>-1350229.785436837</v>
      </c>
      <c r="E28" s="396"/>
      <c r="F28" s="396"/>
      <c r="G28" s="396"/>
      <c r="H28" s="396"/>
      <c r="I28" s="396"/>
      <c r="J28" s="396"/>
      <c r="K28" s="396"/>
      <c r="L28" s="396"/>
      <c r="M28" s="396"/>
      <c r="N28" s="396"/>
    </row>
    <row r="29" spans="1:16" x14ac:dyDescent="0.2">
      <c r="A29" s="809" t="s">
        <v>601</v>
      </c>
      <c r="B29" s="810"/>
      <c r="C29" s="559"/>
      <c r="D29" s="396">
        <f>SUM(D15:D28)</f>
        <v>-1350229.785436837</v>
      </c>
      <c r="E29" s="396">
        <f>SUM(E15:E23)*0.8</f>
        <v>-45212114.717740804</v>
      </c>
      <c r="F29" s="396">
        <f t="shared" ref="F29:N29" si="3">SUM(F15:F23)*0.8</f>
        <v>-52944991.689696774</v>
      </c>
      <c r="G29" s="396">
        <f t="shared" si="3"/>
        <v>-33877836.739349529</v>
      </c>
      <c r="H29" s="396">
        <f t="shared" si="3"/>
        <v>-19092131.246275332</v>
      </c>
      <c r="I29" s="396">
        <f t="shared" si="3"/>
        <v>-21463288.463968843</v>
      </c>
      <c r="J29" s="396">
        <f t="shared" si="3"/>
        <v>-12232886.371866018</v>
      </c>
      <c r="K29" s="396">
        <f t="shared" si="3"/>
        <v>-37989324.913662218</v>
      </c>
      <c r="L29" s="396">
        <f t="shared" si="3"/>
        <v>-36194070.40227703</v>
      </c>
      <c r="M29" s="396">
        <f t="shared" si="3"/>
        <v>-12543316.971232854</v>
      </c>
      <c r="N29" s="396">
        <f t="shared" si="3"/>
        <v>-5653187.9499719106</v>
      </c>
      <c r="P29" s="757"/>
    </row>
    <row r="30" spans="1:16" x14ac:dyDescent="0.2">
      <c r="A30" s="809" t="s">
        <v>602</v>
      </c>
      <c r="B30" s="810"/>
      <c r="C30" s="559"/>
      <c r="D30" s="396"/>
      <c r="E30" s="396">
        <f>SUM(E15:E23)*0.2</f>
        <v>-11303028.679435201</v>
      </c>
      <c r="F30" s="396">
        <f t="shared" ref="F30:N30" si="4">SUM(F15:F23)*0.2</f>
        <v>-13236247.922424193</v>
      </c>
      <c r="G30" s="396">
        <f t="shared" si="4"/>
        <v>-8469459.1848373823</v>
      </c>
      <c r="H30" s="396">
        <f t="shared" si="4"/>
        <v>-4773032.811568833</v>
      </c>
      <c r="I30" s="396">
        <f t="shared" si="4"/>
        <v>-5365822.1159922108</v>
      </c>
      <c r="J30" s="396">
        <f t="shared" si="4"/>
        <v>-3058221.5929665044</v>
      </c>
      <c r="K30" s="396">
        <f t="shared" si="4"/>
        <v>-9497331.2284155544</v>
      </c>
      <c r="L30" s="396">
        <f t="shared" si="4"/>
        <v>-9048517.6005692575</v>
      </c>
      <c r="M30" s="396">
        <f t="shared" si="4"/>
        <v>-3135829.2428082135</v>
      </c>
      <c r="N30" s="396">
        <f t="shared" si="4"/>
        <v>-1413296.9874929776</v>
      </c>
      <c r="P30" s="757"/>
    </row>
    <row r="31" spans="1:16" x14ac:dyDescent="0.2">
      <c r="A31" s="560" t="s">
        <v>19</v>
      </c>
      <c r="B31" s="114"/>
      <c r="C31" s="407"/>
      <c r="D31" s="561">
        <f>SUM(D15:D28)</f>
        <v>-1350229.785436837</v>
      </c>
      <c r="E31" s="561">
        <f t="shared" ref="E31:N31" si="5">SUM(E15:E28)</f>
        <v>-59911034.973842673</v>
      </c>
      <c r="F31" s="561">
        <f t="shared" si="5"/>
        <v>-69993643.938787624</v>
      </c>
      <c r="G31" s="561">
        <f t="shared" si="5"/>
        <v>-45935345.340853579</v>
      </c>
      <c r="H31" s="561">
        <f t="shared" si="5"/>
        <v>-26757880.357844166</v>
      </c>
      <c r="I31" s="561">
        <f t="shared" si="5"/>
        <v>-35172584.229961053</v>
      </c>
      <c r="J31" s="561">
        <f t="shared" si="5"/>
        <v>-22156665.714832518</v>
      </c>
      <c r="K31" s="561">
        <f t="shared" si="5"/>
        <v>-49119005.552077763</v>
      </c>
      <c r="L31" s="561">
        <f t="shared" si="5"/>
        <v>-46384173.662846282</v>
      </c>
      <c r="M31" s="561">
        <f t="shared" si="5"/>
        <v>-16536848.964041067</v>
      </c>
      <c r="N31" s="561">
        <f t="shared" si="5"/>
        <v>-7924187.6874648882</v>
      </c>
      <c r="O31" s="801"/>
    </row>
    <row r="32" spans="1:16" x14ac:dyDescent="0.2">
      <c r="A32" s="381"/>
      <c r="B32" s="382"/>
      <c r="C32" s="382"/>
      <c r="D32" s="383"/>
      <c r="E32" s="384"/>
      <c r="F32" s="385"/>
      <c r="G32" s="385"/>
      <c r="H32" s="385"/>
      <c r="I32" s="385"/>
      <c r="J32" s="385"/>
      <c r="K32" s="385"/>
      <c r="L32" s="385"/>
      <c r="M32" s="400"/>
      <c r="N32" s="400"/>
    </row>
    <row r="33" spans="1:14" x14ac:dyDescent="0.2">
      <c r="A33" s="10" t="s">
        <v>20</v>
      </c>
      <c r="B33" s="10"/>
      <c r="C33" s="10"/>
      <c r="D33" s="378"/>
      <c r="E33" s="379"/>
      <c r="F33" s="116"/>
      <c r="G33" s="116"/>
      <c r="H33" s="116"/>
      <c r="I33" s="116"/>
      <c r="J33" s="116"/>
      <c r="K33" s="116"/>
      <c r="L33" s="116"/>
      <c r="M33" s="401"/>
      <c r="N33" s="401"/>
    </row>
    <row r="34" spans="1:14" x14ac:dyDescent="0.2">
      <c r="A34" s="808" t="s">
        <v>21</v>
      </c>
      <c r="B34" s="808"/>
      <c r="C34" s="97"/>
      <c r="D34" s="11"/>
      <c r="E34" s="396">
        <f t="shared" ref="E34:N34" si="6">E12</f>
        <v>19029743.839005813</v>
      </c>
      <c r="F34" s="396">
        <f t="shared" si="6"/>
        <v>56542796.714718729</v>
      </c>
      <c r="G34" s="396">
        <f t="shared" si="6"/>
        <v>26733484.552207857</v>
      </c>
      <c r="H34" s="396">
        <f t="shared" si="6"/>
        <v>13492727.337554593</v>
      </c>
      <c r="I34" s="396">
        <f t="shared" si="6"/>
        <v>18433864.159695894</v>
      </c>
      <c r="J34" s="396">
        <f t="shared" si="6"/>
        <v>20143010.086504173</v>
      </c>
      <c r="K34" s="396">
        <f t="shared" si="6"/>
        <v>43168900.845516711</v>
      </c>
      <c r="L34" s="396">
        <f t="shared" si="6"/>
        <v>37984038.159073107</v>
      </c>
      <c r="M34" s="396">
        <f t="shared" si="6"/>
        <v>37509205.074950762</v>
      </c>
      <c r="N34" s="396">
        <f t="shared" si="6"/>
        <v>33995723.848484933</v>
      </c>
    </row>
    <row r="35" spans="1:14" s="374" customFormat="1" x14ac:dyDescent="0.2">
      <c r="A35" s="97"/>
      <c r="B35" s="97" t="s">
        <v>22</v>
      </c>
      <c r="D35" s="11"/>
      <c r="E35" s="396"/>
      <c r="F35" s="396"/>
      <c r="G35" s="396"/>
      <c r="H35" s="396"/>
      <c r="I35" s="396"/>
      <c r="J35" s="396"/>
      <c r="K35" s="396"/>
      <c r="L35" s="396"/>
      <c r="M35" s="396"/>
      <c r="N35" s="396">
        <f>'2.Market-rate Rental Housing'!M33+'6.Office_Commercial'!M86+'7.Market-rate Retail'!M36+'9.Underground Parking'!M101+'10.Market-rate Institutional'!M36</f>
        <v>365021270.68413806</v>
      </c>
    </row>
    <row r="36" spans="1:14" s="374" customFormat="1" x14ac:dyDescent="0.2">
      <c r="A36" s="97"/>
      <c r="B36" s="97" t="s">
        <v>538</v>
      </c>
      <c r="C36" s="406">
        <f>N34/N35</f>
        <v>9.3133542011863399E-2</v>
      </c>
      <c r="D36" s="11"/>
      <c r="E36" s="396"/>
      <c r="F36" s="396"/>
      <c r="G36" s="396"/>
      <c r="H36" s="396"/>
      <c r="I36" s="396"/>
      <c r="J36" s="396"/>
      <c r="K36" s="396"/>
      <c r="L36" s="396"/>
      <c r="M36" s="396"/>
      <c r="N36" s="396"/>
    </row>
    <row r="37" spans="1:14" x14ac:dyDescent="0.2">
      <c r="A37" s="808" t="s">
        <v>23</v>
      </c>
      <c r="B37" s="808"/>
      <c r="C37" s="15">
        <v>0.03</v>
      </c>
      <c r="D37" s="11"/>
      <c r="E37" s="396"/>
      <c r="F37" s="396"/>
      <c r="G37" s="396"/>
      <c r="H37" s="396"/>
      <c r="I37" s="396"/>
      <c r="J37" s="396"/>
      <c r="K37" s="396"/>
      <c r="L37" s="396"/>
      <c r="M37" s="396"/>
      <c r="N37" s="396">
        <f>N35*-1*C37</f>
        <v>-10950638.120524142</v>
      </c>
    </row>
    <row r="38" spans="1:14" s="373" customFormat="1" x14ac:dyDescent="0.2">
      <c r="A38" s="808" t="s">
        <v>19</v>
      </c>
      <c r="B38" s="808"/>
      <c r="C38" s="97"/>
      <c r="D38" s="396">
        <f t="shared" ref="D38:N38" si="7">D29</f>
        <v>-1350229.785436837</v>
      </c>
      <c r="E38" s="601">
        <f t="shared" si="7"/>
        <v>-45212114.717740804</v>
      </c>
      <c r="F38" s="601">
        <f t="shared" si="7"/>
        <v>-52944991.689696774</v>
      </c>
      <c r="G38" s="601">
        <f t="shared" si="7"/>
        <v>-33877836.739349529</v>
      </c>
      <c r="H38" s="601">
        <f t="shared" si="7"/>
        <v>-19092131.246275332</v>
      </c>
      <c r="I38" s="601">
        <f t="shared" si="7"/>
        <v>-21463288.463968843</v>
      </c>
      <c r="J38" s="601">
        <f t="shared" si="7"/>
        <v>-12232886.371866018</v>
      </c>
      <c r="K38" s="601">
        <f t="shared" si="7"/>
        <v>-37989324.913662218</v>
      </c>
      <c r="L38" s="601">
        <f t="shared" si="7"/>
        <v>-36194070.40227703</v>
      </c>
      <c r="M38" s="601">
        <f t="shared" si="7"/>
        <v>-12543316.971232854</v>
      </c>
      <c r="N38" s="601">
        <f t="shared" si="7"/>
        <v>-5653187.9499719106</v>
      </c>
    </row>
    <row r="39" spans="1:14" x14ac:dyDescent="0.2">
      <c r="A39" s="407" t="s">
        <v>24</v>
      </c>
      <c r="B39" s="48"/>
      <c r="C39" s="48"/>
      <c r="D39" s="408">
        <f>SUM(D34:D38)</f>
        <v>-1350229.785436837</v>
      </c>
      <c r="E39" s="602">
        <f t="shared" ref="E39:N39" si="8">SUM(E34:E38)</f>
        <v>-26182370.878734991</v>
      </c>
      <c r="F39" s="602">
        <f t="shared" si="8"/>
        <v>3597805.0250219554</v>
      </c>
      <c r="G39" s="602">
        <f t="shared" si="8"/>
        <v>-7144352.1871416718</v>
      </c>
      <c r="H39" s="602">
        <f t="shared" si="8"/>
        <v>-5599403.9087207392</v>
      </c>
      <c r="I39" s="602">
        <f t="shared" si="8"/>
        <v>-3029424.3042729497</v>
      </c>
      <c r="J39" s="602">
        <f t="shared" si="8"/>
        <v>7910123.714638155</v>
      </c>
      <c r="K39" s="602">
        <f t="shared" si="8"/>
        <v>5179575.9318544939</v>
      </c>
      <c r="L39" s="602">
        <f t="shared" si="8"/>
        <v>1789967.7567960769</v>
      </c>
      <c r="M39" s="602">
        <f t="shared" si="8"/>
        <v>24965888.103717908</v>
      </c>
      <c r="N39" s="602">
        <f t="shared" si="8"/>
        <v>382413168.46212691</v>
      </c>
    </row>
    <row r="40" spans="1:14" x14ac:dyDescent="0.2">
      <c r="A40" s="55" t="s">
        <v>541</v>
      </c>
      <c r="B40" s="23"/>
      <c r="C40" s="23"/>
      <c r="D40" s="410">
        <f>D39</f>
        <v>-1350229.785436837</v>
      </c>
      <c r="E40" s="410">
        <f t="shared" ref="E40:N40" si="9">E39</f>
        <v>-26182370.878734991</v>
      </c>
      <c r="F40" s="410">
        <f t="shared" si="9"/>
        <v>3597805.0250219554</v>
      </c>
      <c r="G40" s="410">
        <f t="shared" si="9"/>
        <v>-7144352.1871416718</v>
      </c>
      <c r="H40" s="410">
        <f t="shared" si="9"/>
        <v>-5599403.9087207392</v>
      </c>
      <c r="I40" s="410">
        <f t="shared" si="9"/>
        <v>-3029424.3042729497</v>
      </c>
      <c r="J40" s="410">
        <f t="shared" si="9"/>
        <v>7910123.714638155</v>
      </c>
      <c r="K40" s="410">
        <f t="shared" si="9"/>
        <v>5179575.9318544939</v>
      </c>
      <c r="L40" s="410">
        <f t="shared" si="9"/>
        <v>1789967.7567960769</v>
      </c>
      <c r="M40" s="410">
        <f t="shared" si="9"/>
        <v>24965888.103717908</v>
      </c>
      <c r="N40" s="410">
        <f t="shared" si="9"/>
        <v>382413168.46212691</v>
      </c>
    </row>
    <row r="41" spans="1:14" x14ac:dyDescent="0.2">
      <c r="A41" s="386" t="s">
        <v>26</v>
      </c>
      <c r="B41" s="387"/>
      <c r="C41" s="387"/>
      <c r="D41" s="4"/>
      <c r="E41" s="603">
        <f>(Budget!D5+Budget!G31)*-1</f>
        <v>-2750727.9822247303</v>
      </c>
      <c r="F41" s="375">
        <f>E41</f>
        <v>-2750727.9822247303</v>
      </c>
      <c r="G41" s="603">
        <f>E41</f>
        <v>-2750727.9822247303</v>
      </c>
      <c r="H41" s="603">
        <f>SUM(Budget!E5+Budget!H31+Budget!G36+Budget!H41)*-1</f>
        <v>-1234939283.8444715</v>
      </c>
      <c r="I41" s="603">
        <f>SUM(Budget!E5+Budget!H31+Budget!G36)*-1</f>
        <v>-21886336.513007462</v>
      </c>
      <c r="J41" s="603">
        <f>SUM(Budget!E5+Budget!H31+Budget!G36)*-1</f>
        <v>-21886336.513007462</v>
      </c>
      <c r="K41" s="603">
        <f>-1*SUM(Budget!F5+Budget!H31+Budget!H36+Budget!G37)</f>
        <v>-36190803.809354678</v>
      </c>
      <c r="L41" s="603">
        <f>-1*SUM(Budget!F5+Budget!H31+Budget!H36+Budget!G37)</f>
        <v>-36190803.809354678</v>
      </c>
      <c r="M41" s="410">
        <f>-1*SUM(Budget!F5+Budget!H31+Budget!H36+Budget!G37)</f>
        <v>-36190803.809354678</v>
      </c>
      <c r="N41" s="410">
        <f>-1*SUM(Budget!F5+Budget!H31+Budget!H36+Budget!G37)</f>
        <v>-36190803.809354678</v>
      </c>
    </row>
    <row r="42" spans="1:14" x14ac:dyDescent="0.2">
      <c r="A42" s="55" t="s">
        <v>539</v>
      </c>
      <c r="B42" s="23"/>
      <c r="C42" s="23"/>
      <c r="D42" s="409">
        <f>Budget!D17+Budget!D16</f>
        <v>53764864.099277161</v>
      </c>
      <c r="E42" s="604"/>
      <c r="F42" s="436"/>
      <c r="G42" s="436"/>
      <c r="H42" s="410"/>
      <c r="I42" s="436"/>
      <c r="J42" s="436"/>
      <c r="K42" s="436"/>
      <c r="L42" s="436"/>
      <c r="M42" s="436"/>
      <c r="N42" s="436"/>
    </row>
    <row r="43" spans="1:14" x14ac:dyDescent="0.2">
      <c r="A43" s="386" t="s">
        <v>25</v>
      </c>
      <c r="B43" s="48"/>
      <c r="C43" s="48"/>
      <c r="D43" s="599">
        <f>SUM(D40:D42)</f>
        <v>52414634.313840322</v>
      </c>
      <c r="E43" s="605">
        <f>SUM(E40:E42)</f>
        <v>-28933098.86095972</v>
      </c>
      <c r="F43" s="605">
        <f t="shared" ref="F43:N43" si="10">SUM(F40:F42)</f>
        <v>847077.04279722506</v>
      </c>
      <c r="G43" s="605">
        <f t="shared" si="10"/>
        <v>-9895080.1693664026</v>
      </c>
      <c r="H43" s="605">
        <f t="shared" si="10"/>
        <v>-1240538687.7531922</v>
      </c>
      <c r="I43" s="605">
        <f t="shared" si="10"/>
        <v>-24915760.817280412</v>
      </c>
      <c r="J43" s="605">
        <f t="shared" si="10"/>
        <v>-13976212.798369307</v>
      </c>
      <c r="K43" s="605">
        <f t="shared" si="10"/>
        <v>-31011227.877500184</v>
      </c>
      <c r="L43" s="605">
        <f t="shared" si="10"/>
        <v>-34400836.052558601</v>
      </c>
      <c r="M43" s="605">
        <f t="shared" si="10"/>
        <v>-11224915.70563677</v>
      </c>
      <c r="N43" s="605">
        <f t="shared" si="10"/>
        <v>346222364.65277225</v>
      </c>
    </row>
    <row r="44" spans="1:14" x14ac:dyDescent="0.2">
      <c r="A44" s="345" t="s">
        <v>27</v>
      </c>
      <c r="B44" s="345"/>
      <c r="C44" s="345"/>
      <c r="D44" s="409">
        <f>D40+NPV(C44,E40:N40)</f>
        <v>382550747.92984831</v>
      </c>
      <c r="E44" s="604"/>
      <c r="F44" s="436"/>
      <c r="G44" s="436"/>
      <c r="H44" s="436"/>
      <c r="I44" s="436"/>
      <c r="J44" s="436"/>
      <c r="K44" s="436"/>
      <c r="L44" s="436"/>
      <c r="M44" s="436"/>
      <c r="N44" s="436"/>
    </row>
    <row r="45" spans="1:14" x14ac:dyDescent="0.2">
      <c r="A45" s="386" t="s">
        <v>28</v>
      </c>
      <c r="B45" s="7"/>
      <c r="C45" s="7"/>
      <c r="D45" s="4"/>
      <c r="E45" s="380"/>
      <c r="F45" s="5"/>
      <c r="G45" s="5"/>
      <c r="H45" s="345"/>
      <c r="I45" s="5"/>
      <c r="J45" s="5"/>
      <c r="K45" s="5"/>
      <c r="L45" s="5"/>
      <c r="M45" s="211"/>
      <c r="N45" s="403"/>
    </row>
    <row r="46" spans="1:14" x14ac:dyDescent="0.2">
      <c r="A46" s="7" t="s">
        <v>29</v>
      </c>
      <c r="B46" s="7"/>
      <c r="C46" s="7"/>
      <c r="D46" s="340">
        <f>IRR(D40:N40,0)</f>
        <v>0.34129818331468287</v>
      </c>
      <c r="E46" s="380"/>
      <c r="F46" s="389"/>
      <c r="G46" s="84"/>
      <c r="H46" s="390" t="s">
        <v>30</v>
      </c>
      <c r="I46" s="389"/>
      <c r="J46" s="391"/>
      <c r="K46" s="600">
        <f>Massing!K11</f>
        <v>5317828</v>
      </c>
      <c r="L46" s="5"/>
      <c r="M46" s="402"/>
      <c r="N46" s="402"/>
    </row>
    <row r="47" spans="1:14" x14ac:dyDescent="0.2">
      <c r="A47" s="7" t="s">
        <v>31</v>
      </c>
      <c r="B47" s="7"/>
      <c r="C47" s="7"/>
      <c r="D47" s="340">
        <f>IRR(D43:N43,0)</f>
        <v>1.372317984927681</v>
      </c>
      <c r="E47" s="435" t="s">
        <v>540</v>
      </c>
      <c r="F47" s="391"/>
      <c r="G47" s="85"/>
      <c r="H47" s="343" t="s">
        <v>32</v>
      </c>
      <c r="I47" s="5"/>
      <c r="J47" s="154"/>
      <c r="K47" s="352">
        <f>N35</f>
        <v>365021270.68413806</v>
      </c>
      <c r="L47" s="5"/>
      <c r="M47" s="402"/>
      <c r="N47" s="402"/>
    </row>
    <row r="48" spans="1:14" x14ac:dyDescent="0.2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392"/>
    </row>
    <row r="49" spans="1:16" x14ac:dyDescent="0.2">
      <c r="A49" s="812" t="s">
        <v>33</v>
      </c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</row>
    <row r="50" spans="1:16" x14ac:dyDescent="0.2">
      <c r="A50" s="1"/>
      <c r="B50" s="1"/>
      <c r="C50" s="1"/>
      <c r="D50" s="3"/>
      <c r="E50" s="102" t="s">
        <v>115</v>
      </c>
      <c r="F50" s="103"/>
      <c r="G50" s="104"/>
      <c r="H50" s="105" t="s">
        <v>116</v>
      </c>
      <c r="I50" s="106"/>
      <c r="J50" s="107"/>
      <c r="K50" s="108" t="s">
        <v>117</v>
      </c>
      <c r="L50" s="109"/>
      <c r="M50" s="111"/>
      <c r="N50" s="110"/>
    </row>
    <row r="51" spans="1:16" x14ac:dyDescent="0.2">
      <c r="A51" s="4"/>
      <c r="B51" s="4"/>
      <c r="C51" s="4"/>
      <c r="D51" s="387" t="s">
        <v>34</v>
      </c>
      <c r="E51" s="82">
        <v>2023</v>
      </c>
      <c r="F51" s="81">
        <f>E51+1</f>
        <v>2024</v>
      </c>
      <c r="G51" s="81">
        <f t="shared" ref="G51" si="11">F51+1</f>
        <v>2025</v>
      </c>
      <c r="H51" s="81">
        <f t="shared" ref="H51" si="12">G51+1</f>
        <v>2026</v>
      </c>
      <c r="I51" s="81">
        <f t="shared" ref="I51" si="13">H51+1</f>
        <v>2027</v>
      </c>
      <c r="J51" s="81">
        <f t="shared" ref="J51" si="14">I51+1</f>
        <v>2028</v>
      </c>
      <c r="K51" s="81">
        <f t="shared" ref="K51" si="15">J51+1</f>
        <v>2029</v>
      </c>
      <c r="L51" s="81">
        <f t="shared" ref="L51" si="16">K51+1</f>
        <v>2030</v>
      </c>
      <c r="M51" s="96">
        <f>L51+1</f>
        <v>2031</v>
      </c>
      <c r="N51" s="81">
        <f>M51+1</f>
        <v>2032</v>
      </c>
    </row>
    <row r="52" spans="1:16" x14ac:dyDescent="0.2">
      <c r="A52" s="10" t="s">
        <v>35</v>
      </c>
      <c r="B52" s="10"/>
      <c r="C52" s="10"/>
      <c r="D52" s="339"/>
      <c r="E52" s="339"/>
      <c r="F52" s="379"/>
      <c r="G52" s="116"/>
      <c r="H52" s="116"/>
      <c r="I52" s="116"/>
      <c r="J52" s="116"/>
      <c r="K52" s="116"/>
      <c r="L52" s="116"/>
      <c r="M52" s="116"/>
      <c r="N52" s="395"/>
    </row>
    <row r="53" spans="1:16" x14ac:dyDescent="0.2">
      <c r="A53" s="115" t="s">
        <v>6</v>
      </c>
      <c r="B53" s="97" t="s">
        <v>7</v>
      </c>
      <c r="C53" s="97"/>
      <c r="D53" s="11" t="s">
        <v>36</v>
      </c>
      <c r="E53" s="419">
        <f>('2.Market-rate Rental Housing'!$B$59+'2.Market-rate Rental Housing'!$B$60)*'2.Market-rate Rental Housing'!D24</f>
        <v>58.5</v>
      </c>
      <c r="F53" s="419">
        <f>('2.Market-rate Rental Housing'!$B$59+'2.Market-rate Rental Housing'!$B$60)*'2.Market-rate Rental Housing'!E24</f>
        <v>46.800000000000004</v>
      </c>
      <c r="G53" s="419">
        <f>('2.Market-rate Rental Housing'!$B$59+'2.Market-rate Rental Housing'!$B$60)*'2.Market-rate Rental Housing'!F24</f>
        <v>11.699999999999998</v>
      </c>
      <c r="H53" s="419">
        <f>('2.Market-rate Rental Housing'!$C$59+'2.Market-rate Rental Housing'!$C$60)*'2.Market-rate Rental Housing'!G24</f>
        <v>86.800000000000011</v>
      </c>
      <c r="I53" s="419">
        <f>('2.Market-rate Rental Housing'!$C$59+'2.Market-rate Rental Housing'!$C$60)*'2.Market-rate Rental Housing'!H24</f>
        <v>86.800000000000011</v>
      </c>
      <c r="J53" s="419">
        <f>('2.Market-rate Rental Housing'!$C$59+'2.Market-rate Rental Housing'!$C$60)*'2.Market-rate Rental Housing'!I24</f>
        <v>43.399999999999991</v>
      </c>
      <c r="K53" s="419">
        <f>('2.Market-rate Rental Housing'!$D$59+'2.Market-rate Rental Housing'!$D$60)*'2.Market-rate Rental Housing'!J24</f>
        <v>0</v>
      </c>
      <c r="L53" s="419">
        <f>('2.Market-rate Rental Housing'!$D$59+'2.Market-rate Rental Housing'!$D$60)*'2.Market-rate Rental Housing'!K24</f>
        <v>0</v>
      </c>
      <c r="M53" s="419">
        <f>('2.Market-rate Rental Housing'!$D$59+'2.Market-rate Rental Housing'!$D$60)*'2.Market-rate Rental Housing'!L24</f>
        <v>0</v>
      </c>
      <c r="N53" s="419">
        <f>('2.Market-rate Rental Housing'!$D$59+'2.Market-rate Rental Housing'!$D$60)*'2.Market-rate Rental Housing'!M24</f>
        <v>0</v>
      </c>
    </row>
    <row r="54" spans="1:16" x14ac:dyDescent="0.2">
      <c r="A54" s="115" t="s">
        <v>6</v>
      </c>
      <c r="B54" s="97" t="s">
        <v>8</v>
      </c>
      <c r="C54" s="97"/>
      <c r="D54" s="11" t="s">
        <v>36</v>
      </c>
      <c r="E54" s="419">
        <f>'3.Market-rate For-Sale Housing'!$B$61*'3.Market-rate For-Sale Housing'!D24</f>
        <v>304</v>
      </c>
      <c r="F54" s="419">
        <f>'3.Market-rate For-Sale Housing'!$B$61*'3.Market-rate For-Sale Housing'!E24</f>
        <v>243.20000000000002</v>
      </c>
      <c r="G54" s="419">
        <f>'3.Market-rate For-Sale Housing'!$B$61*'3.Market-rate For-Sale Housing'!F24</f>
        <v>60.799999999999983</v>
      </c>
      <c r="H54" s="419">
        <f>'3.Market-rate For-Sale Housing'!$C$61*'3.Market-rate For-Sale Housing'!G24</f>
        <v>0</v>
      </c>
      <c r="I54" s="419">
        <f>'3.Market-rate For-Sale Housing'!$C$61*'3.Market-rate For-Sale Housing'!H24</f>
        <v>0</v>
      </c>
      <c r="J54" s="419">
        <f>'3.Market-rate For-Sale Housing'!$C$61*'3.Market-rate For-Sale Housing'!I24</f>
        <v>0</v>
      </c>
      <c r="K54" s="419">
        <f>'3.Market-rate For-Sale Housing'!$D$61*'3.Market-rate For-Sale Housing'!J24</f>
        <v>106.2</v>
      </c>
      <c r="L54" s="419">
        <f>'3.Market-rate For-Sale Housing'!$D$61*'3.Market-rate For-Sale Housing'!K24</f>
        <v>118</v>
      </c>
      <c r="M54" s="419">
        <f>'3.Market-rate For-Sale Housing'!$D$61*'3.Market-rate For-Sale Housing'!L24</f>
        <v>7.08</v>
      </c>
      <c r="N54" s="419">
        <f>'3.Market-rate For-Sale Housing'!$D$61*'3.Market-rate For-Sale Housing'!M24</f>
        <v>4.72</v>
      </c>
    </row>
    <row r="55" spans="1:16" x14ac:dyDescent="0.2">
      <c r="A55" s="115" t="s">
        <v>9</v>
      </c>
      <c r="B55" s="97" t="s">
        <v>7</v>
      </c>
      <c r="C55" s="97"/>
      <c r="D55" s="11" t="s">
        <v>36</v>
      </c>
      <c r="E55" s="420">
        <f>'4.Affordable Rental Housing'!$B$63*'4.Affordable Rental Housing'!D25</f>
        <v>11.5</v>
      </c>
      <c r="F55" s="420">
        <f>'4.Affordable Rental Housing'!$B$63*'4.Affordable Rental Housing'!E25</f>
        <v>9.2000000000000011</v>
      </c>
      <c r="G55" s="420">
        <f>'4.Affordable Rental Housing'!$B$63*'4.Affordable Rental Housing'!F25</f>
        <v>2.2999999999999994</v>
      </c>
      <c r="H55" s="420">
        <f>'4.Affordable Rental Housing'!$C$63*'4.Affordable Rental Housing'!G25</f>
        <v>71.600000000000009</v>
      </c>
      <c r="I55" s="420">
        <f>'4.Affordable Rental Housing'!$C$63*'4.Affordable Rental Housing'!H25</f>
        <v>71.600000000000009</v>
      </c>
      <c r="J55" s="420">
        <f>'4.Affordable Rental Housing'!$C$63*'4.Affordable Rental Housing'!I25</f>
        <v>35.79999999999999</v>
      </c>
      <c r="K55" s="420">
        <f>'4.Affordable Rental Housing'!$D$63*'4.Affordable Rental Housing'!J25</f>
        <v>0</v>
      </c>
      <c r="L55" s="420">
        <f>'4.Affordable Rental Housing'!$D$63*'4.Affordable Rental Housing'!K25</f>
        <v>0</v>
      </c>
      <c r="M55" s="420">
        <f>'4.Affordable Rental Housing'!$D$63*'4.Affordable Rental Housing'!L25</f>
        <v>0</v>
      </c>
      <c r="N55" s="420">
        <f>'4.Affordable Rental Housing'!$D$63*'4.Affordable Rental Housing'!M25</f>
        <v>0</v>
      </c>
    </row>
    <row r="56" spans="1:16" x14ac:dyDescent="0.2">
      <c r="A56" s="808" t="s">
        <v>10</v>
      </c>
      <c r="B56" s="808"/>
      <c r="C56" s="97"/>
      <c r="D56" s="11" t="s">
        <v>36</v>
      </c>
      <c r="E56" s="419">
        <f>('6.Office_Commercial'!$B$141*'6.Office_Commercial'!D27)+('6.Office_Commercial'!$B$142*'6.Office_Commercial'!D78)</f>
        <v>138.6</v>
      </c>
      <c r="F56" s="419">
        <f>('6.Office_Commercial'!$B$141*'6.Office_Commercial'!E27)+('6.Office_Commercial'!$B$142*'6.Office_Commercial'!E78)</f>
        <v>184.8</v>
      </c>
      <c r="G56" s="419">
        <f>('6.Office_Commercial'!$B$141*'6.Office_Commercial'!F27)+('6.Office_Commercial'!$B$142*'6.Office_Commercial'!F78)</f>
        <v>138.60000000000002</v>
      </c>
      <c r="H56" s="419">
        <f>('6.Office_Commercial'!$C$141*'6.Office_Commercial'!G27)+('6.Office_Commercial'!$C$142*'6.Office_Commercial'!G78)</f>
        <v>0</v>
      </c>
      <c r="I56" s="419">
        <f>('6.Office_Commercial'!$C$141*'6.Office_Commercial'!H27)+('6.Office_Commercial'!$C$142*'6.Office_Commercial'!H78)</f>
        <v>0</v>
      </c>
      <c r="J56" s="419">
        <f>('6.Office_Commercial'!$C$141*'6.Office_Commercial'!I27)+('6.Office_Commercial'!$C$142*'6.Office_Commercial'!I78)</f>
        <v>0</v>
      </c>
      <c r="K56" s="419">
        <f>('6.Office_Commercial'!$D$141*'6.Office_Commercial'!J27)+('6.Office_Commercial'!$D$142*'6.Office_Commercial'!J78)</f>
        <v>147.20000000000002</v>
      </c>
      <c r="L56" s="419">
        <f>('6.Office_Commercial'!$D$141*'6.Office_Commercial'!K27)+('6.Office_Commercial'!$D$142*'6.Office_Commercial'!K78)</f>
        <v>110.4</v>
      </c>
      <c r="M56" s="419">
        <f>('6.Office_Commercial'!$D$141*'6.Office_Commercial'!L27)+('6.Office_Commercial'!$D$142*'6.Office_Commercial'!L78)</f>
        <v>73.600000000000009</v>
      </c>
      <c r="N56" s="419">
        <f>('6.Office_Commercial'!$D$141*'6.Office_Commercial'!M27)+('6.Office_Commercial'!$D$142*'6.Office_Commercial'!M78)</f>
        <v>36.800000000000004</v>
      </c>
    </row>
    <row r="57" spans="1:16" x14ac:dyDescent="0.2">
      <c r="A57" s="808" t="s">
        <v>11</v>
      </c>
      <c r="B57" s="808"/>
      <c r="C57" s="97"/>
      <c r="D57" s="11" t="s">
        <v>36</v>
      </c>
      <c r="E57" s="419">
        <f>'7.Market-rate Retail'!$B$80*'7.Market-rate Retail'!D28</f>
        <v>4.5</v>
      </c>
      <c r="F57" s="419">
        <f>'7.Market-rate Retail'!$B$80*'7.Market-rate Retail'!E28</f>
        <v>6</v>
      </c>
      <c r="G57" s="419">
        <f>'7.Market-rate Retail'!$B$80*'7.Market-rate Retail'!F28</f>
        <v>4.4999999999999991</v>
      </c>
      <c r="H57" s="419">
        <f>'7.Market-rate Retail'!$C$80*'7.Market-rate Retail'!G28</f>
        <v>4</v>
      </c>
      <c r="I57" s="419">
        <f>'7.Market-rate Retail'!$C$80*'7.Market-rate Retail'!H28</f>
        <v>4</v>
      </c>
      <c r="J57" s="419">
        <f>'7.Market-rate Retail'!$C$80*'7.Market-rate Retail'!I28</f>
        <v>1.9999999999999996</v>
      </c>
      <c r="K57" s="419">
        <f>'7.Market-rate Retail'!$D$80*'7.Market-rate Retail'!J28</f>
        <v>0.8</v>
      </c>
      <c r="L57" s="419">
        <f>'7.Market-rate Retail'!$D$80*'7.Market-rate Retail'!K28</f>
        <v>0.6</v>
      </c>
      <c r="M57" s="419">
        <f>'7.Market-rate Retail'!$D$80*'7.Market-rate Retail'!L28</f>
        <v>0.6</v>
      </c>
      <c r="N57" s="419">
        <f>'7.Market-rate Retail'!$D$80*'7.Market-rate Retail'!M28</f>
        <v>0</v>
      </c>
    </row>
    <row r="58" spans="1:16" x14ac:dyDescent="0.2">
      <c r="A58" s="808" t="s">
        <v>12</v>
      </c>
      <c r="B58" s="808"/>
      <c r="C58" s="97"/>
      <c r="D58" s="11" t="s">
        <v>37</v>
      </c>
      <c r="E58" s="421">
        <f>'9.Underground Parking'!D65/'9.Underground Parking'!$B$119</f>
        <v>449.166</v>
      </c>
      <c r="F58" s="421">
        <f>'9.Underground Parking'!E65/'9.Underground Parking'!$B$119</f>
        <v>898.33199999999999</v>
      </c>
      <c r="G58" s="421">
        <f>'9.Underground Parking'!F65/'9.Underground Parking'!$B$119</f>
        <v>898.33199999999999</v>
      </c>
      <c r="H58" s="421">
        <f>'9.Underground Parking'!G65/'9.Underground Parking'!$B$119</f>
        <v>135.68640000000002</v>
      </c>
      <c r="I58" s="421">
        <f>'9.Underground Parking'!H65/'9.Underground Parking'!$B$119</f>
        <v>271.37280000000004</v>
      </c>
      <c r="J58" s="421">
        <f>'9.Underground Parking'!I65/'9.Underground Parking'!$B$119</f>
        <v>271.37279999999998</v>
      </c>
      <c r="K58" s="421">
        <f>'9.Underground Parking'!J65/'9.Underground Parking'!$B$119</f>
        <v>274.48680000000002</v>
      </c>
      <c r="L58" s="421">
        <f>'9.Underground Parking'!K65/'9.Underground Parking'!$B$119</f>
        <v>394.93019999999996</v>
      </c>
      <c r="M58" s="421">
        <f>'9.Underground Parking'!L65/'9.Underground Parking'!$B$119</f>
        <v>391.57019999999994</v>
      </c>
      <c r="N58" s="421">
        <f>'9.Underground Parking'!M65/'9.Underground Parking'!$B$119</f>
        <v>261.04680000000002</v>
      </c>
    </row>
    <row r="59" spans="1:16" x14ac:dyDescent="0.2">
      <c r="A59" s="418" t="s">
        <v>6</v>
      </c>
      <c r="B59" s="17" t="s">
        <v>323</v>
      </c>
      <c r="C59" s="17"/>
      <c r="D59" s="18" t="s">
        <v>39</v>
      </c>
      <c r="E59" s="422">
        <f>'10.Market-rate Institutional'!D14</f>
        <v>40547.79</v>
      </c>
      <c r="F59" s="422">
        <f>'10.Market-rate Institutional'!E14</f>
        <v>54063.72</v>
      </c>
      <c r="G59" s="422">
        <f>'10.Market-rate Institutional'!F14</f>
        <v>40547.790000000008</v>
      </c>
      <c r="H59" s="422">
        <f>'10.Market-rate Institutional'!G14</f>
        <v>0</v>
      </c>
      <c r="I59" s="422">
        <f>'10.Market-rate Institutional'!H14</f>
        <v>0</v>
      </c>
      <c r="J59" s="422">
        <f>'10.Market-rate Institutional'!I14</f>
        <v>0</v>
      </c>
      <c r="K59" s="422">
        <f>'10.Market-rate Institutional'!J14</f>
        <v>102207.06</v>
      </c>
      <c r="L59" s="422">
        <f>'10.Market-rate Institutional'!K14</f>
        <v>81765.648000000001</v>
      </c>
      <c r="M59" s="422">
        <f>'10.Market-rate Institutional'!L14</f>
        <v>16353.1296</v>
      </c>
      <c r="N59" s="422">
        <f>'10.Market-rate Institutional'!M14</f>
        <v>4088.2824000000001</v>
      </c>
    </row>
    <row r="60" spans="1:16" x14ac:dyDescent="0.2">
      <c r="A60" s="10" t="s">
        <v>38</v>
      </c>
      <c r="B60" s="10"/>
      <c r="C60" s="10"/>
      <c r="D60" s="339"/>
      <c r="E60" s="339"/>
      <c r="F60" s="416"/>
      <c r="G60" s="417"/>
      <c r="H60" s="417"/>
      <c r="I60" s="417"/>
      <c r="J60" s="417"/>
      <c r="K60" s="417"/>
      <c r="L60" s="417"/>
      <c r="M60" s="417"/>
      <c r="N60" s="401"/>
    </row>
    <row r="61" spans="1:16" x14ac:dyDescent="0.2">
      <c r="A61" s="115" t="s">
        <v>6</v>
      </c>
      <c r="B61" s="97" t="s">
        <v>7</v>
      </c>
      <c r="C61" s="97"/>
      <c r="D61" s="11" t="s">
        <v>39</v>
      </c>
      <c r="E61" s="420">
        <f>'2.Market-rate Rental Housing'!D8</f>
        <v>14337.6</v>
      </c>
      <c r="F61" s="420">
        <f>'2.Market-rate Rental Housing'!E8</f>
        <v>11470.080000000002</v>
      </c>
      <c r="G61" s="420">
        <f>'2.Market-rate Rental Housing'!F8</f>
        <v>2867.5199999999995</v>
      </c>
      <c r="H61" s="420">
        <f>'2.Market-rate Rental Housing'!G8</f>
        <v>87986.16</v>
      </c>
      <c r="I61" s="420">
        <f>'2.Market-rate Rental Housing'!H8</f>
        <v>87986.16</v>
      </c>
      <c r="J61" s="420">
        <f>'2.Market-rate Rental Housing'!I8</f>
        <v>43993.079999999987</v>
      </c>
      <c r="K61" s="420">
        <f>'2.Market-rate Rental Housing'!J8</f>
        <v>0</v>
      </c>
      <c r="L61" s="420">
        <f>'2.Market-rate Rental Housing'!K8</f>
        <v>0</v>
      </c>
      <c r="M61" s="420">
        <f>'2.Market-rate Rental Housing'!L8</f>
        <v>0</v>
      </c>
      <c r="N61" s="420">
        <f>'2.Market-rate Rental Housing'!M8</f>
        <v>0</v>
      </c>
    </row>
    <row r="62" spans="1:16" x14ac:dyDescent="0.2">
      <c r="A62" s="115" t="s">
        <v>6</v>
      </c>
      <c r="B62" s="97" t="s">
        <v>8</v>
      </c>
      <c r="C62" s="97"/>
      <c r="D62" s="11" t="s">
        <v>39</v>
      </c>
      <c r="E62" s="420">
        <f>'3.Market-rate For-Sale Housing'!D9</f>
        <v>208164.5</v>
      </c>
      <c r="F62" s="420">
        <f>'3.Market-rate For-Sale Housing'!E9</f>
        <v>166531.6</v>
      </c>
      <c r="G62" s="420">
        <f>'3.Market-rate For-Sale Housing'!F9</f>
        <v>41632.899999999994</v>
      </c>
      <c r="H62" s="420">
        <f>'3.Market-rate For-Sale Housing'!G9</f>
        <v>0</v>
      </c>
      <c r="I62" s="420">
        <f>'3.Market-rate For-Sale Housing'!H9</f>
        <v>0</v>
      </c>
      <c r="J62" s="420">
        <f>'3.Market-rate For-Sale Housing'!I9</f>
        <v>0</v>
      </c>
      <c r="K62" s="420">
        <f>'3.Market-rate For-Sale Housing'!J9</f>
        <v>77112.900000000009</v>
      </c>
      <c r="L62" s="420">
        <f>'3.Market-rate For-Sale Housing'!K9</f>
        <v>85681</v>
      </c>
      <c r="M62" s="420">
        <f>'3.Market-rate For-Sale Housing'!L9</f>
        <v>5140.8599999999997</v>
      </c>
      <c r="N62" s="420">
        <f>'3.Market-rate For-Sale Housing'!M9</f>
        <v>3427.2400000000002</v>
      </c>
    </row>
    <row r="63" spans="1:16" s="374" customFormat="1" x14ac:dyDescent="0.2">
      <c r="A63" s="115" t="s">
        <v>9</v>
      </c>
      <c r="B63" s="97" t="s">
        <v>7</v>
      </c>
      <c r="C63" s="97"/>
      <c r="D63" s="11" t="s">
        <v>39</v>
      </c>
      <c r="E63" s="420">
        <f>'4.Affordable Rental Housing'!D8</f>
        <v>9558.4</v>
      </c>
      <c r="F63" s="420">
        <f>'4.Affordable Rental Housing'!E8</f>
        <v>7646.72</v>
      </c>
      <c r="G63" s="420">
        <f>'4.Affordable Rental Housing'!F8</f>
        <v>1911.6799999999996</v>
      </c>
      <c r="H63" s="420">
        <f>'4.Affordable Rental Housing'!G8</f>
        <v>58657.440000000002</v>
      </c>
      <c r="I63" s="420">
        <f>'4.Affordable Rental Housing'!H8</f>
        <v>58657.440000000002</v>
      </c>
      <c r="J63" s="420">
        <f>'4.Affordable Rental Housing'!I8</f>
        <v>29328.719999999994</v>
      </c>
      <c r="K63" s="420">
        <f>'4.Affordable Rental Housing'!J8</f>
        <v>0</v>
      </c>
      <c r="L63" s="420">
        <f>'4.Affordable Rental Housing'!K8</f>
        <v>0</v>
      </c>
      <c r="M63" s="420">
        <f>'4.Affordable Rental Housing'!L8</f>
        <v>0</v>
      </c>
      <c r="N63" s="420">
        <f>'4.Affordable Rental Housing'!M8</f>
        <v>0</v>
      </c>
      <c r="O63" s="83"/>
      <c r="P63" s="83"/>
    </row>
    <row r="64" spans="1:16" s="376" customFormat="1" x14ac:dyDescent="0.2">
      <c r="A64" s="808" t="s">
        <v>10</v>
      </c>
      <c r="B64" s="808"/>
      <c r="C64" s="97"/>
      <c r="D64" s="11" t="s">
        <v>39</v>
      </c>
      <c r="E64" s="420">
        <f>'6.Office_Commercial'!D8+'6.Office_Commercial'!D60</f>
        <v>45997.8</v>
      </c>
      <c r="F64" s="420">
        <f>'6.Office_Commercial'!E8+'6.Office_Commercial'!E60</f>
        <v>61330.400000000009</v>
      </c>
      <c r="G64" s="420">
        <f>'6.Office_Commercial'!F8+'6.Office_Commercial'!F60</f>
        <v>45997.80000000001</v>
      </c>
      <c r="H64" s="420">
        <f>'6.Office_Commercial'!G8+'6.Office_Commercial'!G60</f>
        <v>7568.8600000000006</v>
      </c>
      <c r="I64" s="420">
        <f>'6.Office_Commercial'!H8+'6.Office_Commercial'!H60</f>
        <v>7568.8600000000006</v>
      </c>
      <c r="J64" s="420">
        <f>'6.Office_Commercial'!I8+'6.Office_Commercial'!I60</f>
        <v>3784.4299999999994</v>
      </c>
      <c r="K64" s="420">
        <f>'6.Office_Commercial'!J8+'6.Office_Commercial'!J60</f>
        <v>39160.504000000001</v>
      </c>
      <c r="L64" s="420">
        <f>'6.Office_Commercial'!K8+'6.Office_Commercial'!K60</f>
        <v>29370.378000000001</v>
      </c>
      <c r="M64" s="420">
        <f>'6.Office_Commercial'!L8+'6.Office_Commercial'!L60</f>
        <v>19580.252</v>
      </c>
      <c r="N64" s="420">
        <f>'6.Office_Commercial'!M8+'6.Office_Commercial'!M60</f>
        <v>9790.1260000000002</v>
      </c>
      <c r="O64" s="83"/>
      <c r="P64" s="83"/>
    </row>
    <row r="65" spans="1:14" x14ac:dyDescent="0.2">
      <c r="A65" s="808" t="s">
        <v>11</v>
      </c>
      <c r="B65" s="808"/>
      <c r="C65" s="97"/>
      <c r="D65" s="11" t="s">
        <v>39</v>
      </c>
      <c r="E65" s="420">
        <f>'7.Market-rate Retail'!D8</f>
        <v>23706.6</v>
      </c>
      <c r="F65" s="420">
        <f>'7.Market-rate Retail'!E8</f>
        <v>31608.800000000003</v>
      </c>
      <c r="G65" s="420">
        <f>'7.Market-rate Retail'!F8</f>
        <v>23706.599999999995</v>
      </c>
      <c r="H65" s="420">
        <f>'7.Market-rate Retail'!G8</f>
        <v>22614.400000000005</v>
      </c>
      <c r="I65" s="420">
        <f>'7.Market-rate Retail'!H8</f>
        <v>22614.400000000005</v>
      </c>
      <c r="J65" s="420">
        <f>'7.Market-rate Retail'!I8</f>
        <v>11307.199999999999</v>
      </c>
      <c r="K65" s="420">
        <f>'7.Market-rate Retail'!J8</f>
        <v>2000</v>
      </c>
      <c r="L65" s="420">
        <f>'7.Market-rate Retail'!K8</f>
        <v>1500</v>
      </c>
      <c r="M65" s="420">
        <f>'7.Market-rate Retail'!L8</f>
        <v>1500</v>
      </c>
      <c r="N65" s="420">
        <f>'7.Market-rate Retail'!M8</f>
        <v>0</v>
      </c>
    </row>
    <row r="66" spans="1:14" x14ac:dyDescent="0.2">
      <c r="A66" s="808" t="s">
        <v>12</v>
      </c>
      <c r="B66" s="808"/>
      <c r="C66" s="97"/>
      <c r="D66" s="11" t="s">
        <v>39</v>
      </c>
      <c r="E66" s="420">
        <f>'9.Underground Parking'!D65</f>
        <v>89833.2</v>
      </c>
      <c r="F66" s="420">
        <f>'9.Underground Parking'!E65</f>
        <v>179666.4</v>
      </c>
      <c r="G66" s="420">
        <f>'9.Underground Parking'!F65</f>
        <v>179666.4</v>
      </c>
      <c r="H66" s="420">
        <f>'9.Underground Parking'!G65</f>
        <v>27137.280000000002</v>
      </c>
      <c r="I66" s="420">
        <f>'9.Underground Parking'!H65</f>
        <v>54274.560000000005</v>
      </c>
      <c r="J66" s="420">
        <f>'9.Underground Parking'!I65</f>
        <v>54274.559999999998</v>
      </c>
      <c r="K66" s="420">
        <f>'9.Underground Parking'!J65</f>
        <v>54897.36</v>
      </c>
      <c r="L66" s="420">
        <f>'9.Underground Parking'!K65</f>
        <v>78986.039999999994</v>
      </c>
      <c r="M66" s="420">
        <f>'9.Underground Parking'!L65</f>
        <v>78314.039999999994</v>
      </c>
      <c r="N66" s="420">
        <f>'9.Underground Parking'!M65</f>
        <v>52209.36</v>
      </c>
    </row>
    <row r="67" spans="1:14" x14ac:dyDescent="0.2">
      <c r="A67" s="115" t="s">
        <v>6</v>
      </c>
      <c r="B67" s="97" t="s">
        <v>323</v>
      </c>
      <c r="C67" s="97"/>
      <c r="D67" s="11" t="s">
        <v>39</v>
      </c>
      <c r="E67" s="420">
        <f>'10.Market-rate Institutional'!D8</f>
        <v>45053.1</v>
      </c>
      <c r="F67" s="420">
        <f>'10.Market-rate Institutional'!E8</f>
        <v>60070.8</v>
      </c>
      <c r="G67" s="420">
        <f>'10.Market-rate Institutional'!F8</f>
        <v>45053.100000000006</v>
      </c>
      <c r="H67" s="420">
        <f>'10.Market-rate Institutional'!G8</f>
        <v>0</v>
      </c>
      <c r="I67" s="420">
        <f>'10.Market-rate Institutional'!H8</f>
        <v>0</v>
      </c>
      <c r="J67" s="420">
        <f>'10.Market-rate Institutional'!I8</f>
        <v>0</v>
      </c>
      <c r="K67" s="420">
        <f>'10.Market-rate Institutional'!J8</f>
        <v>113563.4</v>
      </c>
      <c r="L67" s="420">
        <f>'10.Market-rate Institutional'!K8</f>
        <v>90850.72</v>
      </c>
      <c r="M67" s="420">
        <f>'10.Market-rate Institutional'!L8</f>
        <v>18170.144</v>
      </c>
      <c r="N67" s="420">
        <f>'10.Market-rate Institutional'!M8</f>
        <v>4542.5360000000001</v>
      </c>
    </row>
    <row r="68" spans="1:14" x14ac:dyDescent="0.2">
      <c r="A68" s="811" t="s">
        <v>13</v>
      </c>
      <c r="B68" s="811"/>
      <c r="C68" s="27"/>
      <c r="D68" s="424" t="s">
        <v>39</v>
      </c>
      <c r="E68" s="425"/>
      <c r="F68" s="414"/>
      <c r="G68" s="415"/>
      <c r="H68" s="415"/>
      <c r="I68" s="415"/>
      <c r="J68" s="415"/>
      <c r="K68" s="415"/>
      <c r="L68" s="426"/>
      <c r="M68" s="426"/>
      <c r="N68" s="427"/>
    </row>
    <row r="69" spans="1:14" x14ac:dyDescent="0.2">
      <c r="A69" s="817" t="s">
        <v>40</v>
      </c>
      <c r="B69" s="817"/>
      <c r="C69" s="23"/>
      <c r="D69" s="388" t="s">
        <v>39</v>
      </c>
      <c r="E69" s="428">
        <f>SUM(E61:E68)</f>
        <v>436651.19999999995</v>
      </c>
      <c r="F69" s="428">
        <f t="shared" ref="F69:N69" si="17">SUM(F61:F68)</f>
        <v>518324.8</v>
      </c>
      <c r="G69" s="428">
        <f t="shared" si="17"/>
        <v>340836</v>
      </c>
      <c r="H69" s="428">
        <f t="shared" si="17"/>
        <v>203964.14</v>
      </c>
      <c r="I69" s="428">
        <f t="shared" si="17"/>
        <v>231101.42</v>
      </c>
      <c r="J69" s="428">
        <f t="shared" si="17"/>
        <v>142687.99</v>
      </c>
      <c r="K69" s="428">
        <f t="shared" si="17"/>
        <v>286734.16399999999</v>
      </c>
      <c r="L69" s="428">
        <f t="shared" si="17"/>
        <v>286388.13800000004</v>
      </c>
      <c r="M69" s="428">
        <f t="shared" si="17"/>
        <v>122705.296</v>
      </c>
      <c r="N69" s="428">
        <f t="shared" si="17"/>
        <v>69969.262000000002</v>
      </c>
    </row>
    <row r="70" spans="1:14" ht="13.5" thickBot="1" x14ac:dyDescent="0.25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211"/>
    </row>
    <row r="71" spans="1:14" x14ac:dyDescent="0.2">
      <c r="A71" s="678" t="s">
        <v>41</v>
      </c>
      <c r="B71" s="679"/>
      <c r="C71" s="679"/>
      <c r="D71" s="679"/>
      <c r="E71" s="680"/>
      <c r="F71" s="36"/>
      <c r="G71" s="678" t="s">
        <v>42</v>
      </c>
      <c r="H71" s="679"/>
      <c r="I71" s="679"/>
      <c r="J71" s="679"/>
      <c r="K71" s="679"/>
      <c r="L71" s="680"/>
    </row>
    <row r="72" spans="1:14" x14ac:dyDescent="0.2">
      <c r="A72" s="815" t="s">
        <v>15</v>
      </c>
      <c r="B72" s="816"/>
      <c r="C72" s="430"/>
      <c r="D72" s="431" t="s">
        <v>43</v>
      </c>
      <c r="E72" s="701" t="s">
        <v>44</v>
      </c>
      <c r="F72" s="36"/>
      <c r="G72" s="681"/>
      <c r="H72" s="610"/>
      <c r="I72" s="610"/>
      <c r="J72" s="429" t="s">
        <v>45</v>
      </c>
      <c r="K72" s="429"/>
      <c r="L72" s="682" t="s">
        <v>46</v>
      </c>
    </row>
    <row r="73" spans="1:14" x14ac:dyDescent="0.2">
      <c r="A73" s="702" t="s">
        <v>38</v>
      </c>
      <c r="B73" s="10"/>
      <c r="C73" s="393"/>
      <c r="D73" s="401"/>
      <c r="E73" s="703"/>
      <c r="F73" s="36"/>
      <c r="G73" s="683" t="s">
        <v>48</v>
      </c>
      <c r="H73" s="394"/>
      <c r="I73" s="394"/>
      <c r="J73" s="14"/>
      <c r="K73" s="395"/>
      <c r="L73" s="684"/>
    </row>
    <row r="74" spans="1:14" x14ac:dyDescent="0.2">
      <c r="A74" s="704" t="s">
        <v>6</v>
      </c>
      <c r="B74" s="100" t="s">
        <v>7</v>
      </c>
      <c r="C74" s="100"/>
      <c r="D74" s="397" t="s">
        <v>47</v>
      </c>
      <c r="E74" s="705">
        <f>(SUM(E15:N15)/SUM(E53:N53))*-1</f>
        <v>117065.57226338761</v>
      </c>
      <c r="F74" s="36"/>
      <c r="G74" s="685" t="s">
        <v>604</v>
      </c>
      <c r="H74" s="611"/>
      <c r="I74" s="611"/>
      <c r="J74" s="623">
        <f>Budget!D16</f>
        <v>45700134.484385587</v>
      </c>
      <c r="K74" s="802"/>
      <c r="L74" s="686">
        <f>J74/$J$92</f>
        <v>0.12027347863233152</v>
      </c>
    </row>
    <row r="75" spans="1:14" x14ac:dyDescent="0.2">
      <c r="A75" s="704" t="s">
        <v>6</v>
      </c>
      <c r="B75" s="100" t="s">
        <v>8</v>
      </c>
      <c r="C75" s="100"/>
      <c r="D75" s="338" t="s">
        <v>47</v>
      </c>
      <c r="E75" s="705">
        <f>(SUM(E16:N16)/SUM(E54:N54))*-1</f>
        <v>89439.44838569258</v>
      </c>
      <c r="F75" s="36"/>
      <c r="G75" s="685" t="s">
        <v>211</v>
      </c>
      <c r="H75" s="397"/>
      <c r="I75" s="397"/>
      <c r="J75" s="623">
        <f>Budget!D17</f>
        <v>8064729.6148915756</v>
      </c>
      <c r="K75" s="401"/>
      <c r="L75" s="686">
        <f t="shared" ref="L75:L76" si="18">J75/$J$92</f>
        <v>2.1224731523352625E-2</v>
      </c>
    </row>
    <row r="76" spans="1:14" x14ac:dyDescent="0.2">
      <c r="A76" s="704" t="s">
        <v>9</v>
      </c>
      <c r="B76" s="100" t="s">
        <v>7</v>
      </c>
      <c r="C76" s="100"/>
      <c r="D76" s="397" t="s">
        <v>47</v>
      </c>
      <c r="E76" s="705">
        <f>(SUM(E17:N17)/SUM(E55:N55))*-1</f>
        <v>45203.740208970565</v>
      </c>
      <c r="F76" s="36"/>
      <c r="G76" s="685" t="s">
        <v>605</v>
      </c>
      <c r="H76" s="611"/>
      <c r="I76" s="611"/>
      <c r="J76" s="623">
        <f>Budget!D19</f>
        <v>5317828</v>
      </c>
      <c r="K76" s="397"/>
      <c r="L76" s="686">
        <f t="shared" si="18"/>
        <v>1.3995443985989689E-2</v>
      </c>
    </row>
    <row r="77" spans="1:14" x14ac:dyDescent="0.2">
      <c r="A77" s="814" t="s">
        <v>10</v>
      </c>
      <c r="B77" s="808"/>
      <c r="C77" s="100"/>
      <c r="D77" s="397" t="s">
        <v>47</v>
      </c>
      <c r="E77" s="705">
        <f>(SUM(E19:N19)/SUM(E56:N56))*-1</f>
        <v>43303.804183081404</v>
      </c>
      <c r="F77" s="36"/>
      <c r="G77" s="685"/>
      <c r="H77" s="611"/>
      <c r="I77" s="611"/>
      <c r="J77" s="397"/>
      <c r="K77" s="397"/>
      <c r="L77" s="687"/>
    </row>
    <row r="78" spans="1:14" x14ac:dyDescent="0.2">
      <c r="A78" s="814" t="s">
        <v>11</v>
      </c>
      <c r="B78" s="808"/>
      <c r="C78" s="100"/>
      <c r="D78" s="397" t="s">
        <v>47</v>
      </c>
      <c r="E78" s="705">
        <f>(SUM(E20:N20)/SUM(E57:N57))*-1</f>
        <v>764635.5199999999</v>
      </c>
      <c r="F78" s="36"/>
      <c r="G78" s="688"/>
      <c r="H78" s="609"/>
      <c r="I78" s="609"/>
      <c r="J78" s="398"/>
      <c r="K78" s="398"/>
      <c r="L78" s="689"/>
    </row>
    <row r="79" spans="1:14" x14ac:dyDescent="0.2">
      <c r="A79" s="814" t="s">
        <v>12</v>
      </c>
      <c r="B79" s="808"/>
      <c r="C79" s="100"/>
      <c r="D79" s="397" t="s">
        <v>51</v>
      </c>
      <c r="E79" s="705">
        <f>(SUM(E21:N21)/SUM(E58:N58))*-1</f>
        <v>19200</v>
      </c>
      <c r="F79" s="36"/>
      <c r="G79" s="690" t="s">
        <v>50</v>
      </c>
      <c r="H79" s="608"/>
      <c r="I79" s="608"/>
      <c r="J79" s="395"/>
      <c r="K79" s="395"/>
      <c r="L79" s="691"/>
    </row>
    <row r="80" spans="1:14" x14ac:dyDescent="0.2">
      <c r="A80" s="704" t="s">
        <v>6</v>
      </c>
      <c r="B80" s="100" t="s">
        <v>323</v>
      </c>
      <c r="C80" s="100"/>
      <c r="D80" s="397" t="s">
        <v>49</v>
      </c>
      <c r="E80" s="705">
        <f>(SUM(E22:N22)/SUM(E59:N59))*-1</f>
        <v>234.57512866866696</v>
      </c>
      <c r="F80" s="36"/>
      <c r="G80" s="692" t="s">
        <v>607</v>
      </c>
      <c r="H80" s="397"/>
      <c r="I80" s="397"/>
      <c r="J80" s="623">
        <f>Budget!D13</f>
        <v>166182127.43837994</v>
      </c>
      <c r="K80" s="397"/>
      <c r="L80" s="686">
        <f t="shared" ref="L80:L81" si="19">J80/$J$92</f>
        <v>0.43735763097949892</v>
      </c>
    </row>
    <row r="81" spans="1:14" x14ac:dyDescent="0.2">
      <c r="A81" s="704"/>
      <c r="B81" s="100" t="s">
        <v>542</v>
      </c>
      <c r="C81" s="100"/>
      <c r="D81" s="397"/>
      <c r="E81" s="706">
        <f>D24</f>
        <v>0</v>
      </c>
      <c r="F81" s="36"/>
      <c r="G81" s="692" t="s">
        <v>608</v>
      </c>
      <c r="H81" s="397"/>
      <c r="I81" s="397"/>
      <c r="J81" s="623">
        <f>Budget!D14</f>
        <v>135022978.54368371</v>
      </c>
      <c r="K81" s="397"/>
      <c r="L81" s="686">
        <f t="shared" si="19"/>
        <v>0.35535307517084286</v>
      </c>
    </row>
    <row r="82" spans="1:14" x14ac:dyDescent="0.2">
      <c r="A82" s="707"/>
      <c r="B82" s="622" t="s">
        <v>15</v>
      </c>
      <c r="C82" s="101"/>
      <c r="D82" s="101"/>
      <c r="E82" s="708">
        <f>SUM(E73:E81)</f>
        <v>1079082.6601698007</v>
      </c>
      <c r="F82" s="36"/>
      <c r="G82" s="692"/>
      <c r="H82" s="397"/>
      <c r="I82" s="397"/>
      <c r="J82" s="397"/>
      <c r="K82" s="397"/>
      <c r="L82" s="687"/>
    </row>
    <row r="83" spans="1:14" x14ac:dyDescent="0.2">
      <c r="A83" s="824" t="s">
        <v>13</v>
      </c>
      <c r="B83" s="811"/>
      <c r="C83" s="423"/>
      <c r="D83" s="427"/>
      <c r="E83" s="709"/>
      <c r="F83" s="36"/>
      <c r="G83" s="692"/>
      <c r="H83" s="397"/>
      <c r="I83" s="397"/>
      <c r="J83" s="397"/>
      <c r="K83" s="397"/>
      <c r="L83" s="687"/>
    </row>
    <row r="84" spans="1:14" x14ac:dyDescent="0.2">
      <c r="A84" s="710" t="s">
        <v>52</v>
      </c>
      <c r="B84" s="618"/>
      <c r="C84" s="618"/>
      <c r="D84" s="619" t="s">
        <v>53</v>
      </c>
      <c r="E84" s="711" t="s">
        <v>54</v>
      </c>
      <c r="F84" s="36"/>
      <c r="G84" s="692"/>
      <c r="H84" s="397"/>
      <c r="I84" s="397"/>
      <c r="J84" s="397"/>
      <c r="K84" s="397"/>
      <c r="L84" s="687"/>
    </row>
    <row r="85" spans="1:14" x14ac:dyDescent="0.2">
      <c r="A85" s="820" t="s">
        <v>174</v>
      </c>
      <c r="B85" s="821"/>
      <c r="C85" s="616"/>
      <c r="D85" s="617"/>
      <c r="E85" s="712">
        <f>'1.Infrastructure Costs'!Q10</f>
        <v>4774322.4000000004</v>
      </c>
      <c r="F85" s="36"/>
      <c r="G85" s="693"/>
      <c r="H85" s="398"/>
      <c r="I85" s="398"/>
      <c r="J85" s="398"/>
      <c r="K85" s="398"/>
      <c r="L85" s="689"/>
    </row>
    <row r="86" spans="1:14" x14ac:dyDescent="0.2">
      <c r="A86" s="713"/>
      <c r="B86" s="612" t="s">
        <v>163</v>
      </c>
      <c r="C86" s="612"/>
      <c r="D86" s="613"/>
      <c r="E86" s="714">
        <f>'1.Infrastructure Costs'!Q11</f>
        <v>1193580.6000000001</v>
      </c>
      <c r="F86" s="36"/>
      <c r="G86" s="690" t="s">
        <v>55</v>
      </c>
      <c r="H86" s="608"/>
      <c r="I86" s="608"/>
      <c r="J86" s="395"/>
      <c r="K86" s="395"/>
      <c r="L86" s="691"/>
    </row>
    <row r="87" spans="1:14" ht="15" x14ac:dyDescent="0.2">
      <c r="A87" s="713"/>
      <c r="B87" s="612" t="s">
        <v>172</v>
      </c>
      <c r="C87" s="612"/>
      <c r="D87" s="613"/>
      <c r="E87" s="714">
        <f>'1.Infrastructure Costs'!Q12</f>
        <v>119999.99999999999</v>
      </c>
      <c r="F87" s="36"/>
      <c r="G87" s="550" t="s">
        <v>606</v>
      </c>
      <c r="H87" s="397"/>
      <c r="I87" s="397"/>
      <c r="J87" s="623">
        <f>Budget!D22</f>
        <v>1495683.2745383345</v>
      </c>
      <c r="K87" s="397"/>
      <c r="L87" s="686">
        <f t="shared" ref="L87:L89" si="20">J87/$J$92</f>
        <v>3.936334813683876E-3</v>
      </c>
      <c r="M87" s="758"/>
      <c r="N87" s="758"/>
    </row>
    <row r="88" spans="1:14" ht="15" x14ac:dyDescent="0.2">
      <c r="A88" s="715"/>
      <c r="B88" s="612" t="s">
        <v>173</v>
      </c>
      <c r="C88" s="612"/>
      <c r="D88" s="613"/>
      <c r="E88" s="714">
        <f>'1.Infrastructure Costs'!Q13</f>
        <v>720574.4</v>
      </c>
      <c r="F88" s="36"/>
      <c r="G88" s="692" t="s">
        <v>613</v>
      </c>
      <c r="H88" s="397"/>
      <c r="I88" s="397"/>
      <c r="J88" s="623">
        <f>Budget!D20</f>
        <v>12019878.776666665</v>
      </c>
      <c r="K88" s="397"/>
      <c r="L88" s="686">
        <f t="shared" si="20"/>
        <v>3.1633881377363948E-2</v>
      </c>
      <c r="M88" s="758"/>
      <c r="N88" s="758"/>
    </row>
    <row r="89" spans="1:14" ht="15" x14ac:dyDescent="0.2">
      <c r="A89" s="715"/>
      <c r="B89" s="612" t="str">
        <f>'1.Infrastructure Costs'!C14</f>
        <v>Road Construction</v>
      </c>
      <c r="C89" s="612"/>
      <c r="D89" s="613"/>
      <c r="E89" s="714">
        <f>'1.Infrastructure Costs'!Q14</f>
        <v>385000</v>
      </c>
      <c r="F89" s="36"/>
      <c r="G89" s="692" t="s">
        <v>615</v>
      </c>
      <c r="H89" s="397"/>
      <c r="I89" s="397"/>
      <c r="J89" s="623">
        <f>Budget!D21</f>
        <v>6165150</v>
      </c>
      <c r="K89" s="397"/>
      <c r="L89" s="686">
        <f t="shared" si="20"/>
        <v>1.6225423516936677E-2</v>
      </c>
    </row>
    <row r="90" spans="1:14" x14ac:dyDescent="0.2">
      <c r="A90" s="715"/>
      <c r="B90" s="612" t="s">
        <v>179</v>
      </c>
      <c r="C90" s="612"/>
      <c r="D90" s="613"/>
      <c r="E90" s="714">
        <f>'1.Infrastructure Costs'!Q15</f>
        <v>10500</v>
      </c>
      <c r="F90" s="36"/>
      <c r="G90" s="692"/>
      <c r="H90" s="397"/>
      <c r="I90" s="397"/>
      <c r="J90" s="397"/>
      <c r="K90" s="397"/>
      <c r="L90" s="694"/>
    </row>
    <row r="91" spans="1:14" x14ac:dyDescent="0.2">
      <c r="A91" s="822" t="s">
        <v>64</v>
      </c>
      <c r="B91" s="823"/>
      <c r="C91" s="612"/>
      <c r="D91" s="613"/>
      <c r="E91" s="714">
        <f>'1.Infrastructure Costs'!Q16</f>
        <v>22186461.75</v>
      </c>
      <c r="F91" s="36"/>
      <c r="G91" s="693"/>
      <c r="H91" s="398"/>
      <c r="I91" s="398"/>
      <c r="J91" s="398"/>
      <c r="K91" s="398"/>
      <c r="L91" s="695"/>
    </row>
    <row r="92" spans="1:14" ht="13.5" thickBot="1" x14ac:dyDescent="0.25">
      <c r="A92" s="713"/>
      <c r="B92" s="612" t="str">
        <f>'1.Infrastructure Costs'!C17</f>
        <v xml:space="preserve">Sidewalk Construction </v>
      </c>
      <c r="C92" s="612"/>
      <c r="D92" s="613"/>
      <c r="E92" s="714">
        <f>'1.Infrastructure Costs'!Q17</f>
        <v>974224.44</v>
      </c>
      <c r="F92" s="36"/>
      <c r="G92" s="696" t="s">
        <v>40</v>
      </c>
      <c r="H92" s="697"/>
      <c r="I92" s="697"/>
      <c r="J92" s="698">
        <f>SUM(J74:J91)</f>
        <v>379968510.13254577</v>
      </c>
      <c r="K92" s="699"/>
      <c r="L92" s="700">
        <v>1</v>
      </c>
    </row>
    <row r="93" spans="1:14" x14ac:dyDescent="0.2">
      <c r="A93" s="713"/>
      <c r="B93" s="612" t="str">
        <f>'1.Infrastructure Costs'!C18</f>
        <v xml:space="preserve">Amphitheatre Construction </v>
      </c>
      <c r="C93" s="612"/>
      <c r="D93" s="613"/>
      <c r="E93" s="714">
        <f>'1.Infrastructure Costs'!Q18</f>
        <v>319170</v>
      </c>
      <c r="F93" s="36"/>
      <c r="G93" s="269" t="s">
        <v>619</v>
      </c>
      <c r="H93" s="269"/>
      <c r="I93" s="1"/>
      <c r="J93" s="1"/>
      <c r="M93" s="1"/>
    </row>
    <row r="94" spans="1:14" x14ac:dyDescent="0.2">
      <c r="A94" s="713"/>
      <c r="B94" s="612" t="str">
        <f>'1.Infrastructure Costs'!C19</f>
        <v>Bridge Construction</v>
      </c>
      <c r="C94" s="612"/>
      <c r="D94" s="613"/>
      <c r="E94" s="714">
        <f>'1.Infrastructure Costs'!Q19</f>
        <v>1260000</v>
      </c>
      <c r="F94" s="1"/>
      <c r="G94" s="83" t="s">
        <v>620</v>
      </c>
      <c r="H94" s="269"/>
      <c r="I94" s="1"/>
      <c r="J94" s="1"/>
      <c r="M94" s="1"/>
      <c r="N94" s="1"/>
    </row>
    <row r="95" spans="1:14" x14ac:dyDescent="0.2">
      <c r="A95" s="713"/>
      <c r="B95" s="612" t="str">
        <f>'1.Infrastructure Costs'!C20</f>
        <v>Green Roof</v>
      </c>
      <c r="C95" s="612"/>
      <c r="D95" s="613"/>
      <c r="E95" s="714">
        <f>'1.Infrastructure Costs'!Q20</f>
        <v>1437600.0000000002</v>
      </c>
      <c r="F95" s="1"/>
      <c r="G95" s="269" t="s">
        <v>618</v>
      </c>
      <c r="H95" s="269"/>
    </row>
    <row r="96" spans="1:14" x14ac:dyDescent="0.2">
      <c r="A96" s="822" t="s">
        <v>185</v>
      </c>
      <c r="B96" s="823"/>
      <c r="C96" s="615"/>
      <c r="D96" s="613"/>
      <c r="E96" s="714">
        <f>'1.Infrastructure Costs'!Q21</f>
        <v>6000</v>
      </c>
      <c r="F96" s="1"/>
      <c r="G96" s="269" t="s">
        <v>621</v>
      </c>
    </row>
    <row r="97" spans="1:8" x14ac:dyDescent="0.2">
      <c r="A97" s="620"/>
      <c r="B97" s="621" t="s">
        <v>56</v>
      </c>
      <c r="C97" s="48"/>
      <c r="D97" s="412"/>
      <c r="E97" s="716">
        <f>D24</f>
        <v>0</v>
      </c>
      <c r="G97" s="269" t="s">
        <v>614</v>
      </c>
      <c r="H97" s="269"/>
    </row>
    <row r="98" spans="1:8" x14ac:dyDescent="0.2">
      <c r="A98" s="717"/>
      <c r="B98" s="387" t="s">
        <v>57</v>
      </c>
      <c r="C98" s="387"/>
      <c r="D98" s="399"/>
      <c r="E98" s="718">
        <f>SUM(E85:E96)</f>
        <v>33387433.59</v>
      </c>
      <c r="G98" s="269" t="s">
        <v>616</v>
      </c>
      <c r="H98" s="269"/>
    </row>
    <row r="99" spans="1:8" ht="13.5" thickBot="1" x14ac:dyDescent="0.25">
      <c r="A99" s="719"/>
      <c r="B99" s="720" t="s">
        <v>19</v>
      </c>
      <c r="C99" s="720"/>
      <c r="D99" s="721"/>
      <c r="E99" s="722">
        <f>E98+SUM(E82)</f>
        <v>34466516.250169799</v>
      </c>
    </row>
    <row r="100" spans="1:8" x14ac:dyDescent="0.2">
      <c r="A100" s="1"/>
      <c r="B100" s="1"/>
      <c r="C100" s="1"/>
      <c r="D100" s="3"/>
      <c r="E100" s="1"/>
      <c r="G100" s="269"/>
      <c r="H100" s="269"/>
    </row>
    <row r="101" spans="1:8" x14ac:dyDescent="0.2">
      <c r="A101" s="1"/>
      <c r="B101" s="1"/>
      <c r="C101" s="1"/>
      <c r="D101" s="3"/>
      <c r="E101" s="1"/>
      <c r="G101" s="269"/>
      <c r="H101" s="269"/>
    </row>
    <row r="102" spans="1:8" x14ac:dyDescent="0.2">
      <c r="A102" s="1"/>
      <c r="B102" s="1"/>
      <c r="C102" s="1"/>
      <c r="D102" s="3"/>
      <c r="E102" s="1"/>
      <c r="G102" s="269"/>
      <c r="H102" s="269"/>
    </row>
    <row r="103" spans="1:8" x14ac:dyDescent="0.2">
      <c r="E103" s="1"/>
      <c r="F103" s="1"/>
      <c r="G103" s="269"/>
      <c r="H103" s="269"/>
    </row>
    <row r="104" spans="1:8" x14ac:dyDescent="0.2">
      <c r="E104" s="1"/>
      <c r="F104" s="1"/>
      <c r="G104" s="269"/>
      <c r="H104" s="269"/>
    </row>
    <row r="105" spans="1:8" x14ac:dyDescent="0.2">
      <c r="G105" s="269"/>
      <c r="H105" s="269"/>
    </row>
    <row r="106" spans="1:8" x14ac:dyDescent="0.2">
      <c r="G106" s="269"/>
      <c r="H106" s="269"/>
    </row>
    <row r="107" spans="1:8" x14ac:dyDescent="0.2">
      <c r="G107" s="269"/>
      <c r="H107" s="269"/>
    </row>
    <row r="108" spans="1:8" x14ac:dyDescent="0.2">
      <c r="G108" s="269"/>
      <c r="H108" s="269"/>
    </row>
    <row r="109" spans="1:8" x14ac:dyDescent="0.2">
      <c r="A109" s="269"/>
      <c r="B109" s="269"/>
      <c r="D109" s="83"/>
      <c r="G109" s="269"/>
      <c r="H109" s="269"/>
    </row>
    <row r="110" spans="1:8" x14ac:dyDescent="0.2">
      <c r="A110" s="1"/>
      <c r="B110" s="1"/>
      <c r="C110" s="1"/>
      <c r="D110" s="3"/>
      <c r="E110" s="1"/>
      <c r="G110" s="269"/>
      <c r="H110" s="269"/>
    </row>
    <row r="111" spans="1:8" ht="13.5" thickBot="1" x14ac:dyDescent="0.25">
      <c r="A111" s="432" t="s">
        <v>543</v>
      </c>
      <c r="B111" s="432"/>
      <c r="C111" s="432"/>
      <c r="D111" s="432"/>
      <c r="E111" s="432"/>
      <c r="F111" s="432"/>
    </row>
    <row r="112" spans="1:8" x14ac:dyDescent="0.2">
      <c r="A112" s="437"/>
      <c r="B112" s="438"/>
      <c r="C112" s="439" t="s">
        <v>544</v>
      </c>
      <c r="D112" s="437"/>
      <c r="E112" s="438"/>
      <c r="F112" s="440"/>
    </row>
    <row r="113" spans="1:6" ht="15.75" thickBot="1" x14ac:dyDescent="0.25">
      <c r="A113" s="441" t="s">
        <v>545</v>
      </c>
      <c r="B113" s="442"/>
      <c r="C113" s="443" t="s">
        <v>568</v>
      </c>
      <c r="D113" s="444" t="s">
        <v>546</v>
      </c>
      <c r="E113" s="445"/>
      <c r="F113" s="446"/>
    </row>
    <row r="114" spans="1:6" x14ac:dyDescent="0.2">
      <c r="A114" s="437" t="s">
        <v>547</v>
      </c>
      <c r="B114" s="438"/>
      <c r="C114" s="447">
        <f>3.03*1.03</f>
        <v>3.1208999999999998</v>
      </c>
      <c r="D114" s="825" t="s">
        <v>609</v>
      </c>
      <c r="E114" s="826"/>
      <c r="F114" s="827"/>
    </row>
    <row r="115" spans="1:6" ht="13.5" thickBot="1" x14ac:dyDescent="0.25">
      <c r="A115" s="448"/>
      <c r="B115" s="442"/>
      <c r="C115" s="442"/>
      <c r="D115" s="828"/>
      <c r="E115" s="829"/>
      <c r="F115" s="830"/>
    </row>
    <row r="116" spans="1:6" ht="13.5" thickBot="1" x14ac:dyDescent="0.25">
      <c r="A116" s="449" t="s">
        <v>548</v>
      </c>
      <c r="B116" s="450"/>
      <c r="C116" s="451">
        <v>5.8999999999999997E-2</v>
      </c>
      <c r="D116" s="449" t="s">
        <v>571</v>
      </c>
      <c r="E116" s="450"/>
      <c r="F116" s="452"/>
    </row>
    <row r="117" spans="1:6" ht="13.5" thickBot="1" x14ac:dyDescent="0.25">
      <c r="A117" s="449" t="s">
        <v>549</v>
      </c>
      <c r="B117" s="450"/>
      <c r="C117" s="453">
        <f>1.36</f>
        <v>1.36</v>
      </c>
      <c r="D117" s="454" t="s">
        <v>550</v>
      </c>
      <c r="E117" s="438"/>
      <c r="F117" s="440"/>
    </row>
    <row r="118" spans="1:6" x14ac:dyDescent="0.2">
      <c r="A118" s="437" t="s">
        <v>551</v>
      </c>
      <c r="B118" s="438"/>
      <c r="C118" s="447">
        <f>437*1.03^2</f>
        <v>463.61329999999998</v>
      </c>
      <c r="D118" s="831" t="s">
        <v>576</v>
      </c>
      <c r="E118" s="818"/>
      <c r="F118" s="832"/>
    </row>
    <row r="119" spans="1:6" x14ac:dyDescent="0.2">
      <c r="A119" s="455"/>
      <c r="B119" s="80"/>
      <c r="C119" s="80"/>
      <c r="D119" s="833"/>
      <c r="E119" s="819"/>
      <c r="F119" s="834"/>
    </row>
    <row r="120" spans="1:6" ht="13.5" thickBot="1" x14ac:dyDescent="0.25">
      <c r="A120" s="448"/>
      <c r="B120" s="442"/>
      <c r="C120" s="442"/>
      <c r="D120" s="835"/>
      <c r="E120" s="836"/>
      <c r="F120" s="837"/>
    </row>
    <row r="121" spans="1:6" ht="13.5" thickBot="1" x14ac:dyDescent="0.25">
      <c r="A121" s="449" t="s">
        <v>552</v>
      </c>
      <c r="B121" s="450"/>
      <c r="C121" s="456">
        <v>251.35</v>
      </c>
      <c r="D121" s="80" t="s">
        <v>553</v>
      </c>
      <c r="E121" s="80"/>
      <c r="F121" s="80"/>
    </row>
    <row r="122" spans="1:6" x14ac:dyDescent="0.2">
      <c r="A122" s="437" t="s">
        <v>554</v>
      </c>
      <c r="B122" s="438"/>
      <c r="C122" s="447">
        <f>21.46*1.03^3</f>
        <v>23.449921420000003</v>
      </c>
      <c r="D122" s="831" t="s">
        <v>572</v>
      </c>
      <c r="E122" s="818"/>
      <c r="F122" s="832"/>
    </row>
    <row r="123" spans="1:6" ht="13.5" thickBot="1" x14ac:dyDescent="0.25">
      <c r="A123" s="448"/>
      <c r="B123" s="442"/>
      <c r="C123" s="442"/>
      <c r="D123" s="835"/>
      <c r="E123" s="836"/>
      <c r="F123" s="837"/>
    </row>
    <row r="124" spans="1:6" ht="13.5" thickBot="1" x14ac:dyDescent="0.25">
      <c r="A124" s="449" t="s">
        <v>555</v>
      </c>
      <c r="B124" s="450"/>
      <c r="C124" s="451">
        <v>0.115</v>
      </c>
      <c r="D124" s="449" t="s">
        <v>610</v>
      </c>
      <c r="E124" s="450"/>
      <c r="F124" s="452"/>
    </row>
    <row r="125" spans="1:6" x14ac:dyDescent="0.2">
      <c r="A125" s="437" t="s">
        <v>556</v>
      </c>
      <c r="B125" s="438"/>
      <c r="C125" s="447">
        <v>20</v>
      </c>
      <c r="D125" s="838" t="s">
        <v>573</v>
      </c>
      <c r="E125" s="839"/>
      <c r="F125" s="840"/>
    </row>
    <row r="126" spans="1:6" x14ac:dyDescent="0.2">
      <c r="A126" s="455" t="s">
        <v>557</v>
      </c>
      <c r="B126" s="80"/>
      <c r="C126" s="457">
        <v>30</v>
      </c>
      <c r="D126" s="841"/>
      <c r="E126" s="842"/>
      <c r="F126" s="843"/>
    </row>
    <row r="127" spans="1:6" x14ac:dyDescent="0.2">
      <c r="A127" s="455" t="s">
        <v>558</v>
      </c>
      <c r="B127" s="80"/>
      <c r="C127" s="457">
        <v>15</v>
      </c>
      <c r="D127" s="841"/>
      <c r="E127" s="842"/>
      <c r="F127" s="843"/>
    </row>
    <row r="128" spans="1:6" ht="13.5" thickBot="1" x14ac:dyDescent="0.25">
      <c r="A128" s="448" t="s">
        <v>559</v>
      </c>
      <c r="B128" s="442"/>
      <c r="C128" s="458">
        <v>0.05</v>
      </c>
      <c r="D128" s="844"/>
      <c r="E128" s="845"/>
      <c r="F128" s="846"/>
    </row>
    <row r="129" spans="1:6" ht="13.5" thickBot="1" x14ac:dyDescent="0.25">
      <c r="A129" s="437" t="s">
        <v>574</v>
      </c>
      <c r="B129" s="438"/>
      <c r="C129" s="447">
        <v>20</v>
      </c>
      <c r="D129" s="437" t="s">
        <v>573</v>
      </c>
      <c r="E129" s="438"/>
      <c r="F129" s="440"/>
    </row>
    <row r="130" spans="1:6" ht="13.5" thickBot="1" x14ac:dyDescent="0.25">
      <c r="A130" s="437" t="s">
        <v>575</v>
      </c>
      <c r="B130" s="442"/>
      <c r="C130" s="458">
        <v>0.25</v>
      </c>
      <c r="D130" s="448"/>
      <c r="E130" s="442"/>
      <c r="F130" s="459"/>
    </row>
    <row r="131" spans="1:6" x14ac:dyDescent="0.2">
      <c r="A131" s="437" t="s">
        <v>560</v>
      </c>
      <c r="B131" s="438"/>
      <c r="C131" s="460">
        <v>215</v>
      </c>
      <c r="D131" s="455" t="s">
        <v>611</v>
      </c>
      <c r="E131" s="80"/>
      <c r="F131" s="461"/>
    </row>
    <row r="132" spans="1:6" ht="13.5" thickBot="1" x14ac:dyDescent="0.25">
      <c r="A132" s="448" t="s">
        <v>561</v>
      </c>
      <c r="B132" s="442"/>
      <c r="C132" s="462">
        <v>4</v>
      </c>
      <c r="D132" s="455"/>
      <c r="E132" s="80"/>
      <c r="F132" s="461"/>
    </row>
    <row r="133" spans="1:6" x14ac:dyDescent="0.2">
      <c r="A133" s="437" t="s">
        <v>562</v>
      </c>
      <c r="B133" s="438"/>
      <c r="C133" s="463">
        <v>0.06</v>
      </c>
      <c r="D133" s="838" t="s">
        <v>570</v>
      </c>
      <c r="E133" s="839"/>
      <c r="F133" s="840"/>
    </row>
    <row r="134" spans="1:6" x14ac:dyDescent="0.2">
      <c r="A134" s="455" t="s">
        <v>563</v>
      </c>
      <c r="B134" s="80"/>
      <c r="C134" s="464">
        <v>6.2E-2</v>
      </c>
      <c r="D134" s="841"/>
      <c r="E134" s="842"/>
      <c r="F134" s="843"/>
    </row>
    <row r="135" spans="1:6" x14ac:dyDescent="0.2">
      <c r="A135" s="455" t="s">
        <v>564</v>
      </c>
      <c r="B135" s="80"/>
      <c r="C135" s="464">
        <v>6.2E-2</v>
      </c>
      <c r="D135" s="841"/>
      <c r="E135" s="842"/>
      <c r="F135" s="843"/>
    </row>
    <row r="136" spans="1:6" x14ac:dyDescent="0.2">
      <c r="A136" s="455" t="s">
        <v>565</v>
      </c>
      <c r="B136" s="80"/>
      <c r="C136" s="464">
        <v>0.08</v>
      </c>
      <c r="D136" s="841"/>
      <c r="E136" s="842"/>
      <c r="F136" s="843"/>
    </row>
    <row r="137" spans="1:6" x14ac:dyDescent="0.2">
      <c r="A137" s="455" t="s">
        <v>566</v>
      </c>
      <c r="B137" s="80"/>
      <c r="C137" s="464">
        <v>6.9000000000000006E-2</v>
      </c>
      <c r="D137" s="465"/>
      <c r="E137" s="466"/>
      <c r="F137" s="467"/>
    </row>
    <row r="138" spans="1:6" ht="13.5" thickBot="1" x14ac:dyDescent="0.25">
      <c r="A138" s="448" t="s">
        <v>567</v>
      </c>
      <c r="B138" s="442"/>
      <c r="C138" s="468">
        <v>0.11</v>
      </c>
      <c r="D138" s="448"/>
      <c r="E138" s="442"/>
      <c r="F138" s="459"/>
    </row>
    <row r="139" spans="1:6" x14ac:dyDescent="0.2">
      <c r="A139" s="818" t="s">
        <v>569</v>
      </c>
      <c r="B139" s="818"/>
      <c r="C139" s="818"/>
      <c r="D139" s="818"/>
      <c r="E139" s="818"/>
      <c r="F139" s="818"/>
    </row>
    <row r="140" spans="1:6" x14ac:dyDescent="0.2">
      <c r="A140" s="819"/>
      <c r="B140" s="819"/>
      <c r="C140" s="819"/>
      <c r="D140" s="819"/>
      <c r="E140" s="819"/>
      <c r="F140" s="819"/>
    </row>
  </sheetData>
  <mergeCells count="36">
    <mergeCell ref="A139:F140"/>
    <mergeCell ref="A85:B85"/>
    <mergeCell ref="A91:B91"/>
    <mergeCell ref="A96:B96"/>
    <mergeCell ref="A83:B83"/>
    <mergeCell ref="D114:F115"/>
    <mergeCell ref="D118:F120"/>
    <mergeCell ref="D122:F123"/>
    <mergeCell ref="D125:F128"/>
    <mergeCell ref="D133:F136"/>
    <mergeCell ref="A79:B79"/>
    <mergeCell ref="A72:B72"/>
    <mergeCell ref="A77:B77"/>
    <mergeCell ref="A65:B65"/>
    <mergeCell ref="A69:B69"/>
    <mergeCell ref="A21:B21"/>
    <mergeCell ref="A25:B25"/>
    <mergeCell ref="A29:B29"/>
    <mergeCell ref="A34:B34"/>
    <mergeCell ref="A78:B78"/>
    <mergeCell ref="A10:B10"/>
    <mergeCell ref="A8:B8"/>
    <mergeCell ref="A9:B9"/>
    <mergeCell ref="A30:B30"/>
    <mergeCell ref="A68:B68"/>
    <mergeCell ref="A66:B66"/>
    <mergeCell ref="A57:B57"/>
    <mergeCell ref="A56:B56"/>
    <mergeCell ref="A64:B64"/>
    <mergeCell ref="A49:N49"/>
    <mergeCell ref="A37:B37"/>
    <mergeCell ref="A38:B38"/>
    <mergeCell ref="A19:B19"/>
    <mergeCell ref="A20:B20"/>
    <mergeCell ref="A12:B12"/>
    <mergeCell ref="A58:B58"/>
  </mergeCells>
  <pageMargins left="0.7" right="0.7" top="0.75" bottom="0.75" header="0.3" footer="0.3"/>
  <pageSetup paperSize="3" fitToHeight="0" orientation="landscape" r:id="rId1"/>
  <headerFooter alignWithMargins="0">
    <oddHeader xml:space="preserve">&amp;L&amp;"Arial,Bold"2021 ULI Hines Student Competition&amp;CTEAM :2021-1920&amp;RTeam &amp;A 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03"/>
  <sheetViews>
    <sheetView view="pageLayout" topLeftCell="A157" zoomScale="70" zoomScaleNormal="78" zoomScalePageLayoutView="70" workbookViewId="0">
      <selection activeCell="A2" sqref="A2:N181"/>
    </sheetView>
  </sheetViews>
  <sheetFormatPr defaultColWidth="9.140625" defaultRowHeight="12.75" x14ac:dyDescent="0.2"/>
  <cols>
    <col min="1" max="1" width="25.5703125" style="1" customWidth="1"/>
    <col min="2" max="2" width="12.42578125" style="3" bestFit="1" customWidth="1"/>
    <col min="3" max="3" width="8.85546875" style="3" customWidth="1"/>
    <col min="4" max="4" width="13.28515625" style="1" bestFit="1" customWidth="1"/>
    <col min="5" max="6" width="10.7109375" style="1" bestFit="1" customWidth="1"/>
    <col min="7" max="7" width="9.85546875" style="1" bestFit="1" customWidth="1"/>
    <col min="8" max="8" width="9.85546875" style="1" customWidth="1"/>
    <col min="9" max="12" width="9.85546875" style="1" bestFit="1" customWidth="1"/>
    <col min="13" max="13" width="12.42578125" style="1" bestFit="1" customWidth="1"/>
    <col min="14" max="14" width="9.140625" style="1"/>
    <col min="15" max="15" width="19.7109375" style="1" customWidth="1"/>
    <col min="16" max="16" width="12.28515625" style="1" customWidth="1"/>
    <col min="17" max="18" width="9.140625" style="1"/>
    <col min="19" max="19" width="10.5703125" style="1" bestFit="1" customWidth="1"/>
    <col min="20" max="16384" width="9.140625" style="1"/>
  </cols>
  <sheetData>
    <row r="2" spans="1:14" ht="14.1" customHeight="1" x14ac:dyDescent="0.2">
      <c r="A2" s="94"/>
      <c r="B2" s="94"/>
      <c r="C2" s="93"/>
      <c r="D2" s="117"/>
      <c r="E2" s="117"/>
      <c r="F2" s="117"/>
      <c r="G2" s="117"/>
      <c r="H2" s="117"/>
      <c r="I2" s="117"/>
      <c r="J2" s="117"/>
      <c r="K2" s="117"/>
      <c r="L2" s="86" t="s">
        <v>119</v>
      </c>
      <c r="M2" s="87"/>
    </row>
    <row r="3" spans="1:14" ht="14.1" customHeight="1" x14ac:dyDescent="0.2"/>
    <row r="4" spans="1:14" ht="14.1" customHeight="1" x14ac:dyDescent="0.2">
      <c r="A4" s="363" t="s">
        <v>316</v>
      </c>
      <c r="B4" s="63"/>
      <c r="C4" s="158" t="s">
        <v>2</v>
      </c>
      <c r="D4" s="159" t="s">
        <v>115</v>
      </c>
      <c r="E4" s="160"/>
      <c r="F4" s="161"/>
      <c r="G4" s="162" t="s">
        <v>116</v>
      </c>
      <c r="H4" s="163"/>
      <c r="I4" s="164"/>
      <c r="J4" s="165" t="s">
        <v>117</v>
      </c>
      <c r="K4" s="166"/>
      <c r="L4" s="167"/>
      <c r="M4" s="168"/>
      <c r="N4" s="60"/>
    </row>
    <row r="5" spans="1:14" x14ac:dyDescent="0.2">
      <c r="A5" s="52"/>
      <c r="B5" s="64" t="s">
        <v>58</v>
      </c>
      <c r="C5" s="81" t="s">
        <v>4</v>
      </c>
      <c r="D5" s="64">
        <v>2023</v>
      </c>
      <c r="E5" s="64">
        <f t="shared" ref="E5:M5" si="0">D5+1</f>
        <v>2024</v>
      </c>
      <c r="F5" s="64">
        <f t="shared" si="0"/>
        <v>2025</v>
      </c>
      <c r="G5" s="64">
        <f t="shared" si="0"/>
        <v>2026</v>
      </c>
      <c r="H5" s="64">
        <f t="shared" si="0"/>
        <v>2027</v>
      </c>
      <c r="I5" s="64">
        <f t="shared" si="0"/>
        <v>2028</v>
      </c>
      <c r="J5" s="64">
        <f t="shared" si="0"/>
        <v>2029</v>
      </c>
      <c r="K5" s="64">
        <f t="shared" si="0"/>
        <v>2030</v>
      </c>
      <c r="L5" s="64">
        <f t="shared" si="0"/>
        <v>2031</v>
      </c>
      <c r="M5" s="64">
        <f t="shared" si="0"/>
        <v>2032</v>
      </c>
      <c r="N5" s="60"/>
    </row>
    <row r="6" spans="1:14" ht="18" customHeight="1" x14ac:dyDescent="0.2">
      <c r="A6" s="13" t="s">
        <v>78</v>
      </c>
      <c r="B6" s="43"/>
      <c r="C6" s="4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14.1" customHeight="1" x14ac:dyDescent="0.2">
      <c r="A7" s="97" t="s">
        <v>59</v>
      </c>
      <c r="B7" s="15">
        <v>0.02</v>
      </c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14.1" customHeight="1" x14ac:dyDescent="0.2">
      <c r="A8" s="97" t="s">
        <v>274</v>
      </c>
      <c r="B8" s="334">
        <f>E132+E134+E144+E146+E156+E158+E171+E173</f>
        <v>849259.20000000007</v>
      </c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4" ht="14.1" customHeight="1" x14ac:dyDescent="0.2">
      <c r="A9" s="97" t="s">
        <v>516</v>
      </c>
      <c r="B9" s="334">
        <f>ROUNDUP(E133+E135+E145+E147+E157+E159+E172+E174,0)</f>
        <v>4252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ht="14.1" customHeight="1" x14ac:dyDescent="0.2">
      <c r="A10" s="97"/>
      <c r="B10" s="334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ht="14.1" customHeight="1" x14ac:dyDescent="0.2">
      <c r="A11" s="337" t="s">
        <v>507</v>
      </c>
      <c r="B11" s="334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14.1" customHeight="1" x14ac:dyDescent="0.2">
      <c r="A12" s="97" t="s">
        <v>518</v>
      </c>
      <c r="B12" s="335">
        <f>E137+30</f>
        <v>210</v>
      </c>
      <c r="C12" s="335">
        <f>B12</f>
        <v>210</v>
      </c>
      <c r="D12" s="219">
        <f>C12*(1+$B$7)</f>
        <v>214.20000000000002</v>
      </c>
      <c r="E12" s="219">
        <f t="shared" ref="E12:M12" si="1">D12*(1+$B$7)</f>
        <v>218.48400000000001</v>
      </c>
      <c r="F12" s="219">
        <f t="shared" si="1"/>
        <v>222.85368000000003</v>
      </c>
      <c r="G12" s="219">
        <f t="shared" si="1"/>
        <v>227.31075360000003</v>
      </c>
      <c r="H12" s="219">
        <f t="shared" si="1"/>
        <v>231.85696867200002</v>
      </c>
      <c r="I12" s="219">
        <f t="shared" si="1"/>
        <v>236.49410804544002</v>
      </c>
      <c r="J12" s="219">
        <f t="shared" si="1"/>
        <v>241.22399020634882</v>
      </c>
      <c r="K12" s="219">
        <f t="shared" si="1"/>
        <v>246.0484700104758</v>
      </c>
      <c r="L12" s="219">
        <f t="shared" si="1"/>
        <v>250.96943941068531</v>
      </c>
      <c r="M12" s="219">
        <f t="shared" si="1"/>
        <v>255.98882819889903</v>
      </c>
    </row>
    <row r="13" spans="1:14" ht="14.1" customHeight="1" x14ac:dyDescent="0.2">
      <c r="A13" s="97" t="s">
        <v>519</v>
      </c>
      <c r="B13" s="334">
        <f>E133</f>
        <v>925</v>
      </c>
      <c r="C13" s="11"/>
      <c r="D13" s="348">
        <f>$B$133*D15</f>
        <v>88</v>
      </c>
      <c r="E13" s="348">
        <f>$B$133*E15</f>
        <v>176</v>
      </c>
      <c r="F13" s="348">
        <f>$B$133*F15</f>
        <v>175.99999999999997</v>
      </c>
      <c r="G13" s="348">
        <f>$C$133*G15</f>
        <v>0</v>
      </c>
      <c r="H13" s="348">
        <f>$C$133*H15</f>
        <v>0</v>
      </c>
      <c r="I13" s="348">
        <f>$C$133*I15</f>
        <v>0</v>
      </c>
      <c r="J13" s="348">
        <f>$D$133*J15</f>
        <v>97</v>
      </c>
      <c r="K13" s="348">
        <f>$D$133*K15</f>
        <v>145.5</v>
      </c>
      <c r="L13" s="348">
        <f>$D$133*L15</f>
        <v>145.5</v>
      </c>
      <c r="M13" s="348">
        <f>$D$133*M15</f>
        <v>97</v>
      </c>
    </row>
    <row r="14" spans="1:14" ht="14.1" customHeight="1" x14ac:dyDescent="0.2">
      <c r="A14" s="97" t="s">
        <v>375</v>
      </c>
      <c r="B14" s="15">
        <f>E139</f>
        <v>0.67500000000000004</v>
      </c>
      <c r="C14" s="11"/>
      <c r="D14" s="336">
        <f>B14</f>
        <v>0.67500000000000004</v>
      </c>
      <c r="E14" s="336">
        <f>D14+2%</f>
        <v>0.69500000000000006</v>
      </c>
      <c r="F14" s="336">
        <f t="shared" ref="F14:M14" si="2">E14+2%</f>
        <v>0.71500000000000008</v>
      </c>
      <c r="G14" s="336">
        <f t="shared" si="2"/>
        <v>0.7350000000000001</v>
      </c>
      <c r="H14" s="336">
        <f t="shared" si="2"/>
        <v>0.75500000000000012</v>
      </c>
      <c r="I14" s="336">
        <f t="shared" si="2"/>
        <v>0.77500000000000013</v>
      </c>
      <c r="J14" s="336">
        <f t="shared" si="2"/>
        <v>0.79500000000000015</v>
      </c>
      <c r="K14" s="336">
        <f t="shared" si="2"/>
        <v>0.81500000000000017</v>
      </c>
      <c r="L14" s="336">
        <f t="shared" si="2"/>
        <v>0.83500000000000019</v>
      </c>
      <c r="M14" s="336">
        <f t="shared" si="2"/>
        <v>0.8550000000000002</v>
      </c>
    </row>
    <row r="15" spans="1:14" ht="14.1" customHeight="1" x14ac:dyDescent="0.2">
      <c r="A15" s="97" t="s">
        <v>520</v>
      </c>
      <c r="B15" s="334"/>
      <c r="C15" s="11"/>
      <c r="D15" s="336">
        <v>0.2</v>
      </c>
      <c r="E15" s="336">
        <v>0.4</v>
      </c>
      <c r="F15" s="336">
        <f>1-E15-D15</f>
        <v>0.39999999999999997</v>
      </c>
      <c r="G15" s="336">
        <v>0.2</v>
      </c>
      <c r="H15" s="336">
        <v>0.4</v>
      </c>
      <c r="I15" s="336">
        <f>1-H15-G15</f>
        <v>0.39999999999999997</v>
      </c>
      <c r="J15" s="336">
        <v>0.2</v>
      </c>
      <c r="K15" s="336">
        <v>0.3</v>
      </c>
      <c r="L15" s="336">
        <v>0.3</v>
      </c>
      <c r="M15" s="336">
        <v>0.2</v>
      </c>
    </row>
    <row r="16" spans="1:14" ht="14.1" customHeight="1" x14ac:dyDescent="0.2">
      <c r="A16" s="97" t="s">
        <v>75</v>
      </c>
      <c r="B16" s="334"/>
      <c r="D16" s="334">
        <f>D15*$B$132</f>
        <v>17568.54</v>
      </c>
      <c r="E16" s="334">
        <f>E15*$B$132</f>
        <v>35137.08</v>
      </c>
      <c r="F16" s="334">
        <f>F15*$B$132</f>
        <v>35137.079999999994</v>
      </c>
      <c r="G16" s="334">
        <f>G15*$C$132</f>
        <v>0</v>
      </c>
      <c r="H16" s="334">
        <f>H15*$C$132</f>
        <v>0</v>
      </c>
      <c r="I16" s="334">
        <f>I15*$C$132</f>
        <v>0</v>
      </c>
      <c r="J16" s="334">
        <f>J15*$D$132</f>
        <v>19347.8</v>
      </c>
      <c r="K16" s="334">
        <f>K15*$D$132</f>
        <v>29021.7</v>
      </c>
      <c r="L16" s="334">
        <f>L15*$D$132</f>
        <v>29021.7</v>
      </c>
      <c r="M16" s="334">
        <f>M15*$D$132</f>
        <v>19347.8</v>
      </c>
    </row>
    <row r="17" spans="1:13" ht="14.1" customHeight="1" x14ac:dyDescent="0.2">
      <c r="A17" s="97" t="s">
        <v>522</v>
      </c>
      <c r="B17" s="335">
        <f>E136</f>
        <v>0.5</v>
      </c>
      <c r="C17" s="335">
        <f>B17</f>
        <v>0.5</v>
      </c>
      <c r="D17" s="219">
        <f>C17*(1+$B$7)</f>
        <v>0.51</v>
      </c>
      <c r="E17" s="219">
        <f t="shared" ref="E17:M19" si="3">D17*(1+$B$7)</f>
        <v>0.5202</v>
      </c>
      <c r="F17" s="219">
        <f t="shared" si="3"/>
        <v>0.53060399999999996</v>
      </c>
      <c r="G17" s="219">
        <f t="shared" si="3"/>
        <v>0.54121607999999999</v>
      </c>
      <c r="H17" s="219">
        <f t="shared" si="3"/>
        <v>0.55204040160000001</v>
      </c>
      <c r="I17" s="219">
        <f t="shared" si="3"/>
        <v>0.56308120963200003</v>
      </c>
      <c r="J17" s="219">
        <f t="shared" si="3"/>
        <v>0.57434283382464002</v>
      </c>
      <c r="K17" s="219">
        <f t="shared" si="3"/>
        <v>0.58582969050113287</v>
      </c>
      <c r="L17" s="219">
        <f t="shared" si="3"/>
        <v>0.59754628431115553</v>
      </c>
      <c r="M17" s="219">
        <f t="shared" si="3"/>
        <v>0.60949720999737866</v>
      </c>
    </row>
    <row r="18" spans="1:13" ht="14.1" customHeight="1" x14ac:dyDescent="0.2">
      <c r="A18" s="97"/>
      <c r="B18" s="334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4.1" customHeight="1" x14ac:dyDescent="0.2">
      <c r="A19" s="97" t="s">
        <v>523</v>
      </c>
      <c r="B19" s="335">
        <f>E149</f>
        <v>180</v>
      </c>
      <c r="C19" s="335">
        <f>B19</f>
        <v>180</v>
      </c>
      <c r="D19" s="219">
        <f>C19*(1+$B$7)</f>
        <v>183.6</v>
      </c>
      <c r="E19" s="219">
        <f t="shared" si="3"/>
        <v>187.27199999999999</v>
      </c>
      <c r="F19" s="219">
        <f t="shared" si="3"/>
        <v>191.01743999999999</v>
      </c>
      <c r="G19" s="219">
        <f t="shared" si="3"/>
        <v>194.8377888</v>
      </c>
      <c r="H19" s="219">
        <f t="shared" si="3"/>
        <v>198.73454457599999</v>
      </c>
      <c r="I19" s="219">
        <f t="shared" si="3"/>
        <v>202.70923546751999</v>
      </c>
      <c r="J19" s="219">
        <f t="shared" si="3"/>
        <v>206.7634201768704</v>
      </c>
      <c r="K19" s="219">
        <f t="shared" si="3"/>
        <v>210.89868858040782</v>
      </c>
      <c r="L19" s="219">
        <f t="shared" si="3"/>
        <v>215.11666235201599</v>
      </c>
      <c r="M19" s="219">
        <f t="shared" si="3"/>
        <v>219.41899559905633</v>
      </c>
    </row>
    <row r="20" spans="1:13" ht="14.1" customHeight="1" x14ac:dyDescent="0.2">
      <c r="A20" s="97" t="s">
        <v>524</v>
      </c>
      <c r="B20" s="334">
        <f>E145</f>
        <v>1263</v>
      </c>
      <c r="C20" s="11"/>
      <c r="D20" s="348">
        <f>$B$145*D22</f>
        <v>133.20000000000002</v>
      </c>
      <c r="E20" s="348">
        <f>$B$145*E22</f>
        <v>266.40000000000003</v>
      </c>
      <c r="F20" s="348">
        <f>$B$145*F22</f>
        <v>266.39999999999998</v>
      </c>
      <c r="G20" s="348">
        <f>$C$145*G22</f>
        <v>72.2</v>
      </c>
      <c r="H20" s="348">
        <f>$C$145*H22</f>
        <v>144.4</v>
      </c>
      <c r="I20" s="348">
        <f>$C$145*I22</f>
        <v>144.39999999999998</v>
      </c>
      <c r="J20" s="348">
        <f>$D$145*J22</f>
        <v>47.2</v>
      </c>
      <c r="K20" s="348">
        <f>$D$145*K22</f>
        <v>70.8</v>
      </c>
      <c r="L20" s="348">
        <f>$D$145*L22</f>
        <v>70.8</v>
      </c>
      <c r="M20" s="348">
        <f>$D$145*M22</f>
        <v>47.2</v>
      </c>
    </row>
    <row r="21" spans="1:13" ht="14.1" customHeight="1" x14ac:dyDescent="0.2">
      <c r="A21" s="97" t="s">
        <v>375</v>
      </c>
      <c r="B21" s="15">
        <f>E151</f>
        <v>0.78333333333333333</v>
      </c>
      <c r="C21" s="11"/>
      <c r="D21" s="336">
        <f>B21</f>
        <v>0.78333333333333333</v>
      </c>
      <c r="E21" s="336">
        <f>D21+2%</f>
        <v>0.80333333333333334</v>
      </c>
      <c r="F21" s="336">
        <f t="shared" ref="F21" si="4">E21+2%</f>
        <v>0.82333333333333336</v>
      </c>
      <c r="G21" s="336">
        <f t="shared" ref="G21" si="5">F21+2%</f>
        <v>0.84333333333333338</v>
      </c>
      <c r="H21" s="336">
        <f t="shared" ref="H21" si="6">G21+2%</f>
        <v>0.8633333333333334</v>
      </c>
      <c r="I21" s="336">
        <f t="shared" ref="I21" si="7">H21+2%</f>
        <v>0.88333333333333341</v>
      </c>
      <c r="J21" s="336">
        <f t="shared" ref="J21" si="8">I21+2%</f>
        <v>0.90333333333333343</v>
      </c>
      <c r="K21" s="336">
        <f t="shared" ref="K21" si="9">J21+2%</f>
        <v>0.92333333333333345</v>
      </c>
      <c r="L21" s="336">
        <f t="shared" ref="L21" si="10">K21+2%</f>
        <v>0.94333333333333347</v>
      </c>
      <c r="M21" s="336">
        <f t="shared" ref="M21" si="11">L21+2%</f>
        <v>0.96333333333333349</v>
      </c>
    </row>
    <row r="22" spans="1:13" ht="14.1" customHeight="1" x14ac:dyDescent="0.2">
      <c r="A22" s="97" t="s">
        <v>520</v>
      </c>
      <c r="B22" s="334"/>
      <c r="C22" s="11"/>
      <c r="D22" s="336">
        <v>0.2</v>
      </c>
      <c r="E22" s="336">
        <v>0.4</v>
      </c>
      <c r="F22" s="336">
        <f>1-E22-D22</f>
        <v>0.39999999999999997</v>
      </c>
      <c r="G22" s="336">
        <v>0.2</v>
      </c>
      <c r="H22" s="336">
        <v>0.4</v>
      </c>
      <c r="I22" s="336">
        <f>1-H22-G22</f>
        <v>0.39999999999999997</v>
      </c>
      <c r="J22" s="336">
        <v>0.2</v>
      </c>
      <c r="K22" s="336">
        <v>0.3</v>
      </c>
      <c r="L22" s="336">
        <v>0.3</v>
      </c>
      <c r="M22" s="336">
        <v>0.2</v>
      </c>
    </row>
    <row r="23" spans="1:13" ht="14.1" customHeight="1" x14ac:dyDescent="0.2">
      <c r="A23" s="97" t="s">
        <v>75</v>
      </c>
      <c r="B23" s="334"/>
      <c r="C23" s="11"/>
      <c r="D23" s="334">
        <f>D22*$B$144</f>
        <v>26640</v>
      </c>
      <c r="E23" s="334">
        <f>E22*$B$144</f>
        <v>53280</v>
      </c>
      <c r="F23" s="334">
        <f>F22*$B$144</f>
        <v>53279.999999999993</v>
      </c>
      <c r="G23" s="334">
        <f>G22*$C$144</f>
        <v>14440</v>
      </c>
      <c r="H23" s="334">
        <f>H22*$C$144</f>
        <v>28880</v>
      </c>
      <c r="I23" s="334">
        <f>I22*$C$144</f>
        <v>28879.999999999996</v>
      </c>
      <c r="J23" s="334">
        <f>J22*$D$144</f>
        <v>9440</v>
      </c>
      <c r="K23" s="334">
        <f>K22*$D$144</f>
        <v>14160</v>
      </c>
      <c r="L23" s="334">
        <f>L22*$D$144</f>
        <v>14160</v>
      </c>
      <c r="M23" s="334">
        <f>M22*$D$144</f>
        <v>9440</v>
      </c>
    </row>
    <row r="24" spans="1:13" x14ac:dyDescent="0.2">
      <c r="A24" s="97" t="s">
        <v>522</v>
      </c>
      <c r="B24" s="335">
        <f>E148</f>
        <v>0.5</v>
      </c>
      <c r="C24" s="335">
        <f>B24</f>
        <v>0.5</v>
      </c>
      <c r="D24" s="219">
        <f>C24*(1+$B$7)</f>
        <v>0.51</v>
      </c>
      <c r="E24" s="219">
        <f t="shared" ref="E24:M24" si="12">D24*(1+$B$7)</f>
        <v>0.5202</v>
      </c>
      <c r="F24" s="219">
        <f t="shared" si="12"/>
        <v>0.53060399999999996</v>
      </c>
      <c r="G24" s="219">
        <f t="shared" si="12"/>
        <v>0.54121607999999999</v>
      </c>
      <c r="H24" s="219">
        <f t="shared" si="12"/>
        <v>0.55204040160000001</v>
      </c>
      <c r="I24" s="219">
        <f t="shared" si="12"/>
        <v>0.56308120963200003</v>
      </c>
      <c r="J24" s="219">
        <f t="shared" si="12"/>
        <v>0.57434283382464002</v>
      </c>
      <c r="K24" s="219">
        <f t="shared" si="12"/>
        <v>0.58582969050113287</v>
      </c>
      <c r="L24" s="219">
        <f t="shared" si="12"/>
        <v>0.59754628431115553</v>
      </c>
      <c r="M24" s="219">
        <f t="shared" si="12"/>
        <v>0.60949720999737866</v>
      </c>
    </row>
    <row r="25" spans="1:13" ht="14.1" customHeight="1" x14ac:dyDescent="0.2">
      <c r="A25" s="97"/>
      <c r="B25" s="334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1" customHeight="1" x14ac:dyDescent="0.2">
      <c r="A26" s="97" t="s">
        <v>525</v>
      </c>
      <c r="B26" s="335">
        <f>E161+20</f>
        <v>200</v>
      </c>
      <c r="C26" s="335">
        <f>B26</f>
        <v>200</v>
      </c>
      <c r="D26" s="219">
        <f>C26*(1+$B$7)</f>
        <v>204</v>
      </c>
      <c r="E26" s="219">
        <f t="shared" ref="E26:M26" si="13">D26*(1+$B$7)</f>
        <v>208.08</v>
      </c>
      <c r="F26" s="219">
        <f t="shared" si="13"/>
        <v>212.24160000000001</v>
      </c>
      <c r="G26" s="219">
        <f t="shared" si="13"/>
        <v>216.48643200000001</v>
      </c>
      <c r="H26" s="219">
        <f t="shared" si="13"/>
        <v>220.81616064000002</v>
      </c>
      <c r="I26" s="219">
        <f t="shared" si="13"/>
        <v>225.23248385280002</v>
      </c>
      <c r="J26" s="219">
        <f t="shared" si="13"/>
        <v>229.73713352985601</v>
      </c>
      <c r="K26" s="219">
        <f t="shared" si="13"/>
        <v>234.33187620045314</v>
      </c>
      <c r="L26" s="219">
        <f t="shared" si="13"/>
        <v>239.0185137244622</v>
      </c>
      <c r="M26" s="219">
        <f t="shared" si="13"/>
        <v>243.79888399895145</v>
      </c>
    </row>
    <row r="27" spans="1:13" ht="14.1" customHeight="1" x14ac:dyDescent="0.2">
      <c r="A27" s="97" t="s">
        <v>526</v>
      </c>
      <c r="B27" s="334">
        <f>ROUNDUP(E157,0)</f>
        <v>523</v>
      </c>
      <c r="C27" s="11"/>
      <c r="D27" s="348">
        <f>$B$157*D29</f>
        <v>60.862300000000005</v>
      </c>
      <c r="E27" s="348">
        <f>$B$157*E29</f>
        <v>121.72460000000001</v>
      </c>
      <c r="F27" s="348">
        <f>$B$157*F29</f>
        <v>121.7246</v>
      </c>
      <c r="G27" s="348">
        <f>$C$157*G29</f>
        <v>40.872000000000007</v>
      </c>
      <c r="H27" s="348">
        <f>$C$157*H29</f>
        <v>81.744000000000014</v>
      </c>
      <c r="I27" s="348">
        <f>$C$157*I29</f>
        <v>81.744</v>
      </c>
      <c r="J27" s="348">
        <f>$D$157*J29</f>
        <v>11.200000000000001</v>
      </c>
      <c r="K27" s="348">
        <f>$D$157*K29</f>
        <v>2.8000000000000003</v>
      </c>
      <c r="L27" s="348">
        <f>$D$157*L29</f>
        <v>0</v>
      </c>
      <c r="M27" s="348">
        <f>$D$157*M29</f>
        <v>0</v>
      </c>
    </row>
    <row r="28" spans="1:13" ht="14.1" customHeight="1" x14ac:dyDescent="0.2">
      <c r="A28" s="97" t="s">
        <v>375</v>
      </c>
      <c r="B28" s="15">
        <f>E163</f>
        <v>0.65</v>
      </c>
      <c r="C28" s="11"/>
      <c r="D28" s="336">
        <f>B28</f>
        <v>0.65</v>
      </c>
      <c r="E28" s="336">
        <f>D28+2%</f>
        <v>0.67</v>
      </c>
      <c r="F28" s="336">
        <f t="shared" ref="F28" si="14">E28+2%</f>
        <v>0.69000000000000006</v>
      </c>
      <c r="G28" s="336">
        <f t="shared" ref="G28" si="15">F28+2%</f>
        <v>0.71000000000000008</v>
      </c>
      <c r="H28" s="336">
        <f t="shared" ref="H28" si="16">G28+2%</f>
        <v>0.73000000000000009</v>
      </c>
      <c r="I28" s="336">
        <f t="shared" ref="I28" si="17">H28+2%</f>
        <v>0.75000000000000011</v>
      </c>
      <c r="J28" s="336">
        <f t="shared" ref="J28" si="18">I28+2%</f>
        <v>0.77000000000000013</v>
      </c>
      <c r="K28" s="336">
        <f t="shared" ref="K28" si="19">J28+2%</f>
        <v>0.79000000000000015</v>
      </c>
      <c r="L28" s="336">
        <f t="shared" ref="L28" si="20">K28+2%</f>
        <v>0.81000000000000016</v>
      </c>
      <c r="M28" s="336">
        <f t="shared" ref="M28" si="21">L28+2%</f>
        <v>0.83000000000000018</v>
      </c>
    </row>
    <row r="29" spans="1:13" ht="14.1" customHeight="1" x14ac:dyDescent="0.2">
      <c r="A29" s="97" t="s">
        <v>520</v>
      </c>
      <c r="B29" s="334"/>
      <c r="C29" s="11"/>
      <c r="D29" s="336">
        <v>0.2</v>
      </c>
      <c r="E29" s="336">
        <v>0.4</v>
      </c>
      <c r="F29" s="336">
        <f>1-E29-D29</f>
        <v>0.39999999999999997</v>
      </c>
      <c r="G29" s="336">
        <v>0.2</v>
      </c>
      <c r="H29" s="336">
        <v>0.4</v>
      </c>
      <c r="I29" s="336">
        <f>1-H29-G29</f>
        <v>0.39999999999999997</v>
      </c>
      <c r="J29" s="336">
        <v>0.8</v>
      </c>
      <c r="K29" s="336">
        <v>0.2</v>
      </c>
      <c r="L29" s="336">
        <v>0</v>
      </c>
      <c r="M29" s="336">
        <v>0</v>
      </c>
    </row>
    <row r="30" spans="1:13" ht="14.1" customHeight="1" x14ac:dyDescent="0.2">
      <c r="A30" s="97" t="s">
        <v>75</v>
      </c>
      <c r="B30" s="334"/>
      <c r="C30" s="11"/>
      <c r="D30" s="334">
        <f>D29*$B$156</f>
        <v>12172.460000000001</v>
      </c>
      <c r="E30" s="334">
        <f>E29*$B$156</f>
        <v>24344.920000000002</v>
      </c>
      <c r="F30" s="334">
        <f>F29*$B$156</f>
        <v>24344.92</v>
      </c>
      <c r="G30" s="334">
        <f>G29*$C$156</f>
        <v>8174.4000000000005</v>
      </c>
      <c r="H30" s="334">
        <f>H29*$C$156</f>
        <v>16348.800000000001</v>
      </c>
      <c r="I30" s="334">
        <f>I29*$C$156</f>
        <v>16348.8</v>
      </c>
      <c r="J30" s="334">
        <f>J29*$D$156</f>
        <v>2240</v>
      </c>
      <c r="K30" s="334">
        <f>K29*$D$156</f>
        <v>560</v>
      </c>
      <c r="L30" s="334">
        <f>L29*$D$156</f>
        <v>0</v>
      </c>
      <c r="M30" s="334">
        <f>M29*$D$156</f>
        <v>0</v>
      </c>
    </row>
    <row r="31" spans="1:13" x14ac:dyDescent="0.2">
      <c r="A31" s="97" t="s">
        <v>522</v>
      </c>
      <c r="B31" s="335">
        <f>E160</f>
        <v>0.5</v>
      </c>
      <c r="C31" s="335">
        <f>B31</f>
        <v>0.5</v>
      </c>
      <c r="D31" s="219">
        <f>C31*(1+$B$7)</f>
        <v>0.51</v>
      </c>
      <c r="E31" s="219">
        <f t="shared" ref="E31:M31" si="22">D31*(1+$B$7)</f>
        <v>0.5202</v>
      </c>
      <c r="F31" s="219">
        <f t="shared" si="22"/>
        <v>0.53060399999999996</v>
      </c>
      <c r="G31" s="219">
        <f t="shared" si="22"/>
        <v>0.54121607999999999</v>
      </c>
      <c r="H31" s="219">
        <f t="shared" si="22"/>
        <v>0.55204040160000001</v>
      </c>
      <c r="I31" s="219">
        <f t="shared" si="22"/>
        <v>0.56308120963200003</v>
      </c>
      <c r="J31" s="219">
        <f t="shared" si="22"/>
        <v>0.57434283382464002</v>
      </c>
      <c r="K31" s="219">
        <f t="shared" si="22"/>
        <v>0.58582969050113287</v>
      </c>
      <c r="L31" s="219">
        <f t="shared" si="22"/>
        <v>0.59754628431115553</v>
      </c>
      <c r="M31" s="219">
        <f t="shared" si="22"/>
        <v>0.60949720999737866</v>
      </c>
    </row>
    <row r="32" spans="1:13" ht="14.1" customHeight="1" x14ac:dyDescent="0.2">
      <c r="A32" s="97"/>
      <c r="B32" s="334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1" customHeight="1" x14ac:dyDescent="0.2">
      <c r="A33" s="97" t="s">
        <v>527</v>
      </c>
      <c r="B33" s="335">
        <f>E176+30</f>
        <v>225</v>
      </c>
      <c r="C33" s="335">
        <f>B33</f>
        <v>225</v>
      </c>
      <c r="D33" s="219">
        <f>C33*(1+$B$7)</f>
        <v>229.5</v>
      </c>
      <c r="E33" s="219">
        <f t="shared" ref="E33:M33" si="23">D33*(1+$B$7)</f>
        <v>234.09</v>
      </c>
      <c r="F33" s="219">
        <f t="shared" si="23"/>
        <v>238.77180000000001</v>
      </c>
      <c r="G33" s="219">
        <f t="shared" si="23"/>
        <v>243.54723600000003</v>
      </c>
      <c r="H33" s="219">
        <f t="shared" si="23"/>
        <v>248.41818072000004</v>
      </c>
      <c r="I33" s="219">
        <f t="shared" si="23"/>
        <v>253.38654433440004</v>
      </c>
      <c r="J33" s="219">
        <f t="shared" si="23"/>
        <v>258.45427522108804</v>
      </c>
      <c r="K33" s="219">
        <f t="shared" si="23"/>
        <v>263.62336072550983</v>
      </c>
      <c r="L33" s="219">
        <f t="shared" si="23"/>
        <v>268.89582794002001</v>
      </c>
      <c r="M33" s="219">
        <f t="shared" si="23"/>
        <v>274.27374449882041</v>
      </c>
    </row>
    <row r="34" spans="1:13" ht="14.1" customHeight="1" x14ac:dyDescent="0.2">
      <c r="A34" s="97" t="s">
        <v>528</v>
      </c>
      <c r="B34" s="334">
        <f>E172</f>
        <v>830</v>
      </c>
      <c r="C34" s="11"/>
      <c r="D34" s="348">
        <f>$B$172*D36</f>
        <v>92.4</v>
      </c>
      <c r="E34" s="348">
        <f>$B$172*E36</f>
        <v>184.8</v>
      </c>
      <c r="F34" s="348">
        <f>$B$172*F36</f>
        <v>184.79999999999998</v>
      </c>
      <c r="G34" s="348">
        <f>$C$172*G36</f>
        <v>0</v>
      </c>
      <c r="H34" s="348">
        <f>$C$172*H36</f>
        <v>0</v>
      </c>
      <c r="I34" s="348">
        <f>$C$172*I36</f>
        <v>0</v>
      </c>
      <c r="J34" s="348">
        <f>$D$172*J36</f>
        <v>73.600000000000009</v>
      </c>
      <c r="K34" s="348">
        <f>$D$172*K36</f>
        <v>110.39999999999999</v>
      </c>
      <c r="L34" s="348">
        <f>$D$172*L36</f>
        <v>110.39999999999999</v>
      </c>
      <c r="M34" s="348">
        <f>$D$172*M36</f>
        <v>73.600000000000009</v>
      </c>
    </row>
    <row r="35" spans="1:13" ht="14.1" customHeight="1" x14ac:dyDescent="0.2">
      <c r="A35" s="97" t="s">
        <v>375</v>
      </c>
      <c r="B35" s="15">
        <f>E178</f>
        <v>0.67500000000000004</v>
      </c>
      <c r="C35" s="11"/>
      <c r="D35" s="336">
        <f>B35</f>
        <v>0.67500000000000004</v>
      </c>
      <c r="E35" s="336">
        <f>D35+2%</f>
        <v>0.69500000000000006</v>
      </c>
      <c r="F35" s="336">
        <f t="shared" ref="F35" si="24">E35+2%</f>
        <v>0.71500000000000008</v>
      </c>
      <c r="G35" s="336">
        <f t="shared" ref="G35" si="25">F35+2%</f>
        <v>0.7350000000000001</v>
      </c>
      <c r="H35" s="336">
        <f t="shared" ref="H35" si="26">G35+2%</f>
        <v>0.75500000000000012</v>
      </c>
      <c r="I35" s="336">
        <f t="shared" ref="I35" si="27">H35+2%</f>
        <v>0.77500000000000013</v>
      </c>
      <c r="J35" s="336">
        <f t="shared" ref="J35" si="28">I35+2%</f>
        <v>0.79500000000000015</v>
      </c>
      <c r="K35" s="336">
        <f t="shared" ref="K35" si="29">J35+2%</f>
        <v>0.81500000000000017</v>
      </c>
      <c r="L35" s="336">
        <f t="shared" ref="L35" si="30">K35+2%</f>
        <v>0.83500000000000019</v>
      </c>
      <c r="M35" s="336">
        <f t="shared" ref="M35" si="31">L35+2%</f>
        <v>0.8550000000000002</v>
      </c>
    </row>
    <row r="36" spans="1:13" x14ac:dyDescent="0.2">
      <c r="A36" s="97" t="s">
        <v>520</v>
      </c>
      <c r="B36" s="334"/>
      <c r="C36" s="11"/>
      <c r="D36" s="336">
        <v>0.2</v>
      </c>
      <c r="E36" s="336">
        <v>0.4</v>
      </c>
      <c r="F36" s="336">
        <f>1-E36-D36</f>
        <v>0.39999999999999997</v>
      </c>
      <c r="G36" s="336">
        <v>0.2</v>
      </c>
      <c r="H36" s="336">
        <v>0.4</v>
      </c>
      <c r="I36" s="336">
        <f>1-H36-G36</f>
        <v>0.39999999999999997</v>
      </c>
      <c r="J36" s="336">
        <v>0.2</v>
      </c>
      <c r="K36" s="336">
        <v>0.3</v>
      </c>
      <c r="L36" s="336">
        <v>0.3</v>
      </c>
      <c r="M36" s="336">
        <v>0.2</v>
      </c>
    </row>
    <row r="37" spans="1:13" ht="14.1" customHeight="1" x14ac:dyDescent="0.2">
      <c r="A37" s="97" t="s">
        <v>75</v>
      </c>
      <c r="B37" s="334"/>
      <c r="C37" s="11"/>
      <c r="D37" s="334">
        <f>D36*$B$171</f>
        <v>18480</v>
      </c>
      <c r="E37" s="334">
        <f>E36*$B$171</f>
        <v>36960</v>
      </c>
      <c r="F37" s="334">
        <f>F36*$B$171</f>
        <v>36960</v>
      </c>
      <c r="G37" s="334">
        <f>G36*$C$171</f>
        <v>0</v>
      </c>
      <c r="H37" s="334">
        <f>H36*$C$171</f>
        <v>0</v>
      </c>
      <c r="I37" s="334">
        <f>I36*$C$171</f>
        <v>0</v>
      </c>
      <c r="J37" s="334">
        <f>J36*$D$171</f>
        <v>14720</v>
      </c>
      <c r="K37" s="334">
        <f>K36*$D$171</f>
        <v>22080</v>
      </c>
      <c r="L37" s="334">
        <f>L36*$D$171</f>
        <v>22080</v>
      </c>
      <c r="M37" s="334">
        <f>M36*$D$171</f>
        <v>14720</v>
      </c>
    </row>
    <row r="38" spans="1:13" ht="14.1" customHeight="1" x14ac:dyDescent="0.2">
      <c r="A38" s="97" t="s">
        <v>522</v>
      </c>
      <c r="B38" s="335">
        <f>E175</f>
        <v>0.5</v>
      </c>
      <c r="C38" s="335">
        <f>B38</f>
        <v>0.5</v>
      </c>
      <c r="D38" s="219">
        <f>C38*(1+$B$7)</f>
        <v>0.51</v>
      </c>
      <c r="E38" s="219">
        <f t="shared" ref="E38:M38" si="32">D38*(1+$B$7)</f>
        <v>0.5202</v>
      </c>
      <c r="F38" s="219">
        <f t="shared" si="32"/>
        <v>0.53060399999999996</v>
      </c>
      <c r="G38" s="219">
        <f t="shared" si="32"/>
        <v>0.54121607999999999</v>
      </c>
      <c r="H38" s="219">
        <f t="shared" si="32"/>
        <v>0.55204040160000001</v>
      </c>
      <c r="I38" s="219">
        <f t="shared" si="32"/>
        <v>0.56308120963200003</v>
      </c>
      <c r="J38" s="219">
        <f t="shared" si="32"/>
        <v>0.57434283382464002</v>
      </c>
      <c r="K38" s="219">
        <f t="shared" si="32"/>
        <v>0.58582969050113287</v>
      </c>
      <c r="L38" s="219">
        <f t="shared" si="32"/>
        <v>0.59754628431115553</v>
      </c>
      <c r="M38" s="219">
        <f t="shared" si="32"/>
        <v>0.60949720999737866</v>
      </c>
    </row>
    <row r="39" spans="1:13" ht="14.1" customHeight="1" x14ac:dyDescent="0.2">
      <c r="A39" s="97"/>
      <c r="B39" s="334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.1" customHeight="1" x14ac:dyDescent="0.2">
      <c r="A40" s="337" t="s">
        <v>529</v>
      </c>
      <c r="B40" s="334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4.1" customHeight="1" x14ac:dyDescent="0.2">
      <c r="A41" s="97" t="s">
        <v>518</v>
      </c>
      <c r="B41" s="335">
        <f>E138</f>
        <v>1.5</v>
      </c>
      <c r="C41" s="335">
        <f>B41</f>
        <v>1.5</v>
      </c>
      <c r="D41" s="219">
        <f>C41*(1+$B$7)</f>
        <v>1.53</v>
      </c>
      <c r="E41" s="219">
        <f t="shared" ref="E41:M41" si="33">D41*(1+$B$7)</f>
        <v>1.5606</v>
      </c>
      <c r="F41" s="219">
        <f t="shared" si="33"/>
        <v>1.591812</v>
      </c>
      <c r="G41" s="219">
        <f t="shared" si="33"/>
        <v>1.6236482400000001</v>
      </c>
      <c r="H41" s="219">
        <f t="shared" si="33"/>
        <v>1.6561212048</v>
      </c>
      <c r="I41" s="219">
        <f t="shared" si="33"/>
        <v>1.689243628896</v>
      </c>
      <c r="J41" s="219">
        <f t="shared" si="33"/>
        <v>1.7230285014739199</v>
      </c>
      <c r="K41" s="219">
        <f t="shared" si="33"/>
        <v>1.7574890715033984</v>
      </c>
      <c r="L41" s="219">
        <f t="shared" si="33"/>
        <v>1.7926388529334665</v>
      </c>
      <c r="M41" s="219">
        <f t="shared" si="33"/>
        <v>1.8284916299921359</v>
      </c>
    </row>
    <row r="42" spans="1:13" ht="14.1" customHeight="1" x14ac:dyDescent="0.2">
      <c r="A42" s="97" t="s">
        <v>519</v>
      </c>
      <c r="B42" s="334">
        <f>E135</f>
        <v>185</v>
      </c>
      <c r="C42" s="11"/>
      <c r="D42" s="348">
        <f>$B$135*D44</f>
        <v>17.600000000000001</v>
      </c>
      <c r="E42" s="348">
        <f>$B$135*E44</f>
        <v>35.200000000000003</v>
      </c>
      <c r="F42" s="348">
        <f>$B$135*F44</f>
        <v>35.199999999999996</v>
      </c>
      <c r="G42" s="348">
        <f>$C$135*G44</f>
        <v>0</v>
      </c>
      <c r="H42" s="348">
        <f>$C$135*H44</f>
        <v>0</v>
      </c>
      <c r="I42" s="348">
        <f>$C$135*I44</f>
        <v>0</v>
      </c>
      <c r="J42" s="348">
        <f>$D$135*J44</f>
        <v>19.400000000000002</v>
      </c>
      <c r="K42" s="348">
        <f>$D$135*K44</f>
        <v>29.099999999999998</v>
      </c>
      <c r="L42" s="348">
        <f>$D$135*L44</f>
        <v>29.099999999999998</v>
      </c>
      <c r="M42" s="348">
        <f>$D$135*M44</f>
        <v>19.400000000000002</v>
      </c>
    </row>
    <row r="43" spans="1:13" x14ac:dyDescent="0.2">
      <c r="A43" s="97" t="s">
        <v>375</v>
      </c>
      <c r="B43" s="15">
        <f>E139</f>
        <v>0.67500000000000004</v>
      </c>
      <c r="C43" s="11"/>
      <c r="D43" s="336">
        <f>B43</f>
        <v>0.67500000000000004</v>
      </c>
      <c r="E43" s="336">
        <f>D43+2%</f>
        <v>0.69500000000000006</v>
      </c>
      <c r="F43" s="336">
        <f t="shared" ref="F43" si="34">E43+2%</f>
        <v>0.71500000000000008</v>
      </c>
      <c r="G43" s="336">
        <f t="shared" ref="G43" si="35">F43+2%</f>
        <v>0.7350000000000001</v>
      </c>
      <c r="H43" s="336">
        <f t="shared" ref="H43" si="36">G43+2%</f>
        <v>0.75500000000000012</v>
      </c>
      <c r="I43" s="336">
        <f t="shared" ref="I43" si="37">H43+2%</f>
        <v>0.77500000000000013</v>
      </c>
      <c r="J43" s="336">
        <f t="shared" ref="J43" si="38">I43+2%</f>
        <v>0.79500000000000015</v>
      </c>
      <c r="K43" s="336">
        <f t="shared" ref="K43" si="39">J43+2%</f>
        <v>0.81500000000000017</v>
      </c>
      <c r="L43" s="336">
        <f t="shared" ref="L43" si="40">K43+2%</f>
        <v>0.83500000000000019</v>
      </c>
      <c r="M43" s="336">
        <f t="shared" ref="M43" si="41">L43+2%</f>
        <v>0.8550000000000002</v>
      </c>
    </row>
    <row r="44" spans="1:13" x14ac:dyDescent="0.2">
      <c r="A44" s="97" t="s">
        <v>75</v>
      </c>
      <c r="B44" s="334"/>
      <c r="C44" s="11"/>
      <c r="D44" s="336">
        <v>0.2</v>
      </c>
      <c r="E44" s="336">
        <v>0.4</v>
      </c>
      <c r="F44" s="336">
        <f>1-E44-D44</f>
        <v>0.39999999999999997</v>
      </c>
      <c r="G44" s="336">
        <v>0.2</v>
      </c>
      <c r="H44" s="336">
        <v>0.4</v>
      </c>
      <c r="I44" s="336">
        <f>1-H44-G44</f>
        <v>0.39999999999999997</v>
      </c>
      <c r="J44" s="336">
        <v>0.2</v>
      </c>
      <c r="K44" s="336">
        <v>0.3</v>
      </c>
      <c r="L44" s="336">
        <v>0.3</v>
      </c>
      <c r="M44" s="336">
        <v>0.2</v>
      </c>
    </row>
    <row r="45" spans="1:13" x14ac:dyDescent="0.2">
      <c r="A45" s="97" t="s">
        <v>521</v>
      </c>
      <c r="B45" s="334"/>
      <c r="C45" s="11"/>
      <c r="D45" s="334">
        <f>D44*$B$134</f>
        <v>3513.7080000000005</v>
      </c>
      <c r="E45" s="334">
        <f>E44*$B$134</f>
        <v>7027.4160000000011</v>
      </c>
      <c r="F45" s="334">
        <f>F44*$B$134</f>
        <v>7027.4160000000002</v>
      </c>
      <c r="G45" s="334">
        <f>G44*$C$134</f>
        <v>0</v>
      </c>
      <c r="H45" s="334">
        <f>H44*$C$134</f>
        <v>0</v>
      </c>
      <c r="I45" s="334">
        <f>I44*$C$134</f>
        <v>0</v>
      </c>
      <c r="J45" s="334">
        <f>J44*$D$134</f>
        <v>3869.56</v>
      </c>
      <c r="K45" s="334">
        <f>K44*$D$134</f>
        <v>5804.3399999999992</v>
      </c>
      <c r="L45" s="334">
        <f>L44*$D$134</f>
        <v>5804.3399999999992</v>
      </c>
      <c r="M45" s="334">
        <f>M44*$D$134</f>
        <v>3869.56</v>
      </c>
    </row>
    <row r="46" spans="1:13" x14ac:dyDescent="0.2">
      <c r="A46" s="97"/>
      <c r="B46" s="334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">
      <c r="A47" s="97" t="s">
        <v>523</v>
      </c>
      <c r="B47" s="335">
        <f>E150</f>
        <v>1.6666666666666667</v>
      </c>
      <c r="C47" s="335">
        <f>B47</f>
        <v>1.6666666666666667</v>
      </c>
      <c r="D47" s="219">
        <f>C47*(1+$B$7)</f>
        <v>1.7000000000000002</v>
      </c>
      <c r="E47" s="219">
        <f t="shared" ref="E47:M47" si="42">D47*(1+$B$7)</f>
        <v>1.7340000000000002</v>
      </c>
      <c r="F47" s="219">
        <f t="shared" si="42"/>
        <v>1.7686800000000003</v>
      </c>
      <c r="G47" s="219">
        <f t="shared" si="42"/>
        <v>1.8040536000000003</v>
      </c>
      <c r="H47" s="219">
        <f t="shared" si="42"/>
        <v>1.8401346720000002</v>
      </c>
      <c r="I47" s="219">
        <f t="shared" si="42"/>
        <v>1.8769373654400003</v>
      </c>
      <c r="J47" s="219">
        <f t="shared" si="42"/>
        <v>1.9144761127488004</v>
      </c>
      <c r="K47" s="219">
        <f t="shared" si="42"/>
        <v>1.9527656350037763</v>
      </c>
      <c r="L47" s="219">
        <f t="shared" si="42"/>
        <v>1.9918209477038518</v>
      </c>
      <c r="M47" s="219">
        <f t="shared" si="42"/>
        <v>2.031657366657929</v>
      </c>
    </row>
    <row r="48" spans="1:13" x14ac:dyDescent="0.2">
      <c r="A48" s="97" t="s">
        <v>524</v>
      </c>
      <c r="B48" s="334">
        <f>E147</f>
        <v>254.20000000000002</v>
      </c>
      <c r="C48" s="11"/>
      <c r="D48" s="348">
        <f>$B$147*D50</f>
        <v>26.640000000000004</v>
      </c>
      <c r="E48" s="348">
        <f>$B$147*E50</f>
        <v>53.280000000000008</v>
      </c>
      <c r="F48" s="348">
        <f>$B$147*F50</f>
        <v>53.28</v>
      </c>
      <c r="G48" s="348">
        <f>$C$147*G50</f>
        <v>14.600000000000001</v>
      </c>
      <c r="H48" s="348">
        <f>$C$147*H50</f>
        <v>29.200000000000003</v>
      </c>
      <c r="I48" s="348">
        <f>$C$147*I50</f>
        <v>29.2</v>
      </c>
      <c r="J48" s="348">
        <f>$D$147*J50</f>
        <v>9.6000000000000014</v>
      </c>
      <c r="K48" s="348">
        <f>$D$147*K50</f>
        <v>14.399999999999999</v>
      </c>
      <c r="L48" s="348">
        <f>$D$147*L50</f>
        <v>14.399999999999999</v>
      </c>
      <c r="M48" s="348">
        <f>$D$147*M50</f>
        <v>9.6000000000000014</v>
      </c>
    </row>
    <row r="49" spans="1:13" x14ac:dyDescent="0.2">
      <c r="A49" s="97" t="s">
        <v>375</v>
      </c>
      <c r="B49" s="15">
        <f>E151</f>
        <v>0.78333333333333333</v>
      </c>
      <c r="C49" s="11"/>
      <c r="D49" s="336">
        <f>B49</f>
        <v>0.78333333333333333</v>
      </c>
      <c r="E49" s="336">
        <f>D49+2%</f>
        <v>0.80333333333333334</v>
      </c>
      <c r="F49" s="336">
        <f t="shared" ref="F49" si="43">E49+2%</f>
        <v>0.82333333333333336</v>
      </c>
      <c r="G49" s="336">
        <f t="shared" ref="G49" si="44">F49+2%</f>
        <v>0.84333333333333338</v>
      </c>
      <c r="H49" s="336">
        <f t="shared" ref="H49" si="45">G49+2%</f>
        <v>0.8633333333333334</v>
      </c>
      <c r="I49" s="336">
        <f t="shared" ref="I49" si="46">H49+2%</f>
        <v>0.88333333333333341</v>
      </c>
      <c r="J49" s="336">
        <f t="shared" ref="J49" si="47">I49+2%</f>
        <v>0.90333333333333343</v>
      </c>
      <c r="K49" s="336">
        <f t="shared" ref="K49" si="48">J49+2%</f>
        <v>0.92333333333333345</v>
      </c>
      <c r="L49" s="336">
        <f t="shared" ref="L49" si="49">K49+2%</f>
        <v>0.94333333333333347</v>
      </c>
      <c r="M49" s="336">
        <f t="shared" ref="M49" si="50">L49+2%</f>
        <v>0.96333333333333349</v>
      </c>
    </row>
    <row r="50" spans="1:13" x14ac:dyDescent="0.2">
      <c r="A50" s="97" t="s">
        <v>75</v>
      </c>
      <c r="B50" s="334"/>
      <c r="C50" s="11"/>
      <c r="D50" s="336">
        <v>0.2</v>
      </c>
      <c r="E50" s="336">
        <v>0.4</v>
      </c>
      <c r="F50" s="336">
        <f>1-E50-D50</f>
        <v>0.39999999999999997</v>
      </c>
      <c r="G50" s="336">
        <v>0.2</v>
      </c>
      <c r="H50" s="336">
        <v>0.4</v>
      </c>
      <c r="I50" s="336">
        <f>1-H50-G50</f>
        <v>0.39999999999999997</v>
      </c>
      <c r="J50" s="336">
        <v>0.2</v>
      </c>
      <c r="K50" s="336">
        <v>0.3</v>
      </c>
      <c r="L50" s="336">
        <v>0.3</v>
      </c>
      <c r="M50" s="336">
        <v>0.2</v>
      </c>
    </row>
    <row r="51" spans="1:13" x14ac:dyDescent="0.2">
      <c r="A51" s="97" t="s">
        <v>521</v>
      </c>
      <c r="B51" s="334"/>
      <c r="C51" s="11"/>
      <c r="D51" s="334">
        <f>D50*$B$146</f>
        <v>5328</v>
      </c>
      <c r="E51" s="334">
        <f>E50*$B$146</f>
        <v>10656</v>
      </c>
      <c r="F51" s="334">
        <f>F50*$B$146</f>
        <v>10656</v>
      </c>
      <c r="G51" s="334">
        <f>G50*$C$146</f>
        <v>2888</v>
      </c>
      <c r="H51" s="334">
        <f>H50*$C$146</f>
        <v>5776</v>
      </c>
      <c r="I51" s="334">
        <f>I50*$C$146</f>
        <v>5775.9999999999991</v>
      </c>
      <c r="J51" s="334">
        <f>J50*$D$146</f>
        <v>1888</v>
      </c>
      <c r="K51" s="334">
        <f>K50*$D$146</f>
        <v>2832</v>
      </c>
      <c r="L51" s="334">
        <f>L50*$D$146</f>
        <v>2832</v>
      </c>
      <c r="M51" s="334">
        <f>M50*$D$146</f>
        <v>1888</v>
      </c>
    </row>
    <row r="52" spans="1:13" x14ac:dyDescent="0.2">
      <c r="A52" s="97"/>
      <c r="B52" s="334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">
      <c r="A53" s="97" t="s">
        <v>525</v>
      </c>
      <c r="B53" s="335">
        <f>E162</f>
        <v>1.6666666666666667</v>
      </c>
      <c r="C53" s="335">
        <f>B53</f>
        <v>1.6666666666666667</v>
      </c>
      <c r="D53" s="219">
        <f>C53*(1+$B$7)</f>
        <v>1.7000000000000002</v>
      </c>
      <c r="E53" s="219">
        <f t="shared" ref="E53:M53" si="51">D53*(1+$B$7)</f>
        <v>1.7340000000000002</v>
      </c>
      <c r="F53" s="219">
        <f t="shared" si="51"/>
        <v>1.7686800000000003</v>
      </c>
      <c r="G53" s="219">
        <f t="shared" si="51"/>
        <v>1.8040536000000003</v>
      </c>
      <c r="H53" s="219">
        <f t="shared" si="51"/>
        <v>1.8401346720000002</v>
      </c>
      <c r="I53" s="219">
        <f t="shared" si="51"/>
        <v>1.8769373654400003</v>
      </c>
      <c r="J53" s="219">
        <f t="shared" si="51"/>
        <v>1.9144761127488004</v>
      </c>
      <c r="K53" s="219">
        <f t="shared" si="51"/>
        <v>1.9527656350037763</v>
      </c>
      <c r="L53" s="219">
        <f t="shared" si="51"/>
        <v>1.9918209477038518</v>
      </c>
      <c r="M53" s="219">
        <f t="shared" si="51"/>
        <v>2.031657366657929</v>
      </c>
    </row>
    <row r="54" spans="1:13" x14ac:dyDescent="0.2">
      <c r="A54" s="97" t="s">
        <v>526</v>
      </c>
      <c r="B54" s="334">
        <f>E159</f>
        <v>104.8623</v>
      </c>
      <c r="C54" s="11"/>
      <c r="D54" s="348">
        <f>$B$159*D56</f>
        <v>12.172460000000001</v>
      </c>
      <c r="E54" s="348">
        <f>$B$159*E56</f>
        <v>24.344920000000002</v>
      </c>
      <c r="F54" s="348">
        <f>$B$159*F56</f>
        <v>24.344919999999998</v>
      </c>
      <c r="G54" s="348">
        <f>$C$159*G56</f>
        <v>8.2000000000000011</v>
      </c>
      <c r="H54" s="348">
        <f>$C$159*H56</f>
        <v>16.400000000000002</v>
      </c>
      <c r="I54" s="348">
        <f>$C$159*I56</f>
        <v>16.399999999999999</v>
      </c>
      <c r="J54" s="348">
        <f>$D$159*J56</f>
        <v>2.4000000000000004</v>
      </c>
      <c r="K54" s="348">
        <f>$D$159*K56</f>
        <v>0.60000000000000009</v>
      </c>
      <c r="L54" s="348">
        <f>$D$159*L56</f>
        <v>0</v>
      </c>
      <c r="M54" s="348">
        <f>$D$159*M56</f>
        <v>0</v>
      </c>
    </row>
    <row r="55" spans="1:13" x14ac:dyDescent="0.2">
      <c r="A55" s="97" t="s">
        <v>375</v>
      </c>
      <c r="B55" s="15">
        <f>E163</f>
        <v>0.65</v>
      </c>
      <c r="C55" s="11"/>
      <c r="D55" s="336">
        <f>B55</f>
        <v>0.65</v>
      </c>
      <c r="E55" s="336">
        <f>D55+2%</f>
        <v>0.67</v>
      </c>
      <c r="F55" s="336">
        <f t="shared" ref="F55" si="52">E55+2%</f>
        <v>0.69000000000000006</v>
      </c>
      <c r="G55" s="336">
        <f t="shared" ref="G55" si="53">F55+2%</f>
        <v>0.71000000000000008</v>
      </c>
      <c r="H55" s="336">
        <f t="shared" ref="H55" si="54">G55+2%</f>
        <v>0.73000000000000009</v>
      </c>
      <c r="I55" s="336">
        <f t="shared" ref="I55" si="55">H55+2%</f>
        <v>0.75000000000000011</v>
      </c>
      <c r="J55" s="336">
        <f t="shared" ref="J55" si="56">I55+2%</f>
        <v>0.77000000000000013</v>
      </c>
      <c r="K55" s="336">
        <f t="shared" ref="K55" si="57">J55+2%</f>
        <v>0.79000000000000015</v>
      </c>
      <c r="L55" s="336">
        <f t="shared" ref="L55" si="58">K55+2%</f>
        <v>0.81000000000000016</v>
      </c>
      <c r="M55" s="336">
        <f t="shared" ref="M55" si="59">L55+2%</f>
        <v>0.83000000000000018</v>
      </c>
    </row>
    <row r="56" spans="1:13" x14ac:dyDescent="0.2">
      <c r="A56" s="97" t="s">
        <v>75</v>
      </c>
      <c r="B56" s="334"/>
      <c r="C56" s="11"/>
      <c r="D56" s="336">
        <v>0.2</v>
      </c>
      <c r="E56" s="336">
        <v>0.4</v>
      </c>
      <c r="F56" s="336">
        <f>1-E56-D56</f>
        <v>0.39999999999999997</v>
      </c>
      <c r="G56" s="336">
        <v>0.2</v>
      </c>
      <c r="H56" s="336">
        <v>0.4</v>
      </c>
      <c r="I56" s="336">
        <f>1-H56-G56</f>
        <v>0.39999999999999997</v>
      </c>
      <c r="J56" s="336">
        <v>0.8</v>
      </c>
      <c r="K56" s="336">
        <v>0.2</v>
      </c>
      <c r="L56" s="336">
        <v>0</v>
      </c>
      <c r="M56" s="336">
        <v>0</v>
      </c>
    </row>
    <row r="57" spans="1:13" x14ac:dyDescent="0.2">
      <c r="A57" s="97" t="s">
        <v>521</v>
      </c>
      <c r="B57" s="334"/>
      <c r="C57" s="11"/>
      <c r="D57" s="334">
        <f>D56*$B$158</f>
        <v>2434.4920000000002</v>
      </c>
      <c r="E57" s="334">
        <f>E56*$B$158</f>
        <v>4868.9840000000004</v>
      </c>
      <c r="F57" s="334">
        <f>F56*$B$158</f>
        <v>4868.9840000000004</v>
      </c>
      <c r="G57" s="334">
        <f>G56*$C$158</f>
        <v>1634.88</v>
      </c>
      <c r="H57" s="334">
        <f>H56*$C$158</f>
        <v>3269.76</v>
      </c>
      <c r="I57" s="334">
        <f>I56*$C$158</f>
        <v>3269.7599999999998</v>
      </c>
      <c r="J57" s="334">
        <f>J56*$D$158</f>
        <v>448</v>
      </c>
      <c r="K57" s="334">
        <f>K56*$D$158</f>
        <v>112</v>
      </c>
      <c r="L57" s="334">
        <f>L56*$D$158</f>
        <v>0</v>
      </c>
      <c r="M57" s="334">
        <f>M56*$D$158</f>
        <v>0</v>
      </c>
    </row>
    <row r="58" spans="1:13" x14ac:dyDescent="0.2">
      <c r="A58" s="97"/>
      <c r="B58" s="334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">
      <c r="A59" s="97" t="s">
        <v>527</v>
      </c>
      <c r="B59" s="335">
        <f>E177</f>
        <v>1</v>
      </c>
      <c r="C59" s="335">
        <f>B59</f>
        <v>1</v>
      </c>
      <c r="D59" s="219">
        <f>C59*(1+$B$7)</f>
        <v>1.02</v>
      </c>
      <c r="E59" s="219">
        <f t="shared" ref="E59:M59" si="60">D59*(1+$B$7)</f>
        <v>1.0404</v>
      </c>
      <c r="F59" s="219">
        <f t="shared" si="60"/>
        <v>1.0612079999999999</v>
      </c>
      <c r="G59" s="219">
        <f t="shared" si="60"/>
        <v>1.08243216</v>
      </c>
      <c r="H59" s="219">
        <f t="shared" si="60"/>
        <v>1.1040808032</v>
      </c>
      <c r="I59" s="219">
        <f t="shared" si="60"/>
        <v>1.1261624192640001</v>
      </c>
      <c r="J59" s="219">
        <f t="shared" si="60"/>
        <v>1.14868566764928</v>
      </c>
      <c r="K59" s="219">
        <f t="shared" si="60"/>
        <v>1.1716593810022657</v>
      </c>
      <c r="L59" s="219">
        <f t="shared" si="60"/>
        <v>1.1950925686223111</v>
      </c>
      <c r="M59" s="219">
        <f t="shared" si="60"/>
        <v>1.2189944199947573</v>
      </c>
    </row>
    <row r="60" spans="1:13" x14ac:dyDescent="0.2">
      <c r="A60" s="97" t="s">
        <v>528</v>
      </c>
      <c r="B60" s="334">
        <f>E174</f>
        <v>166.4</v>
      </c>
      <c r="C60" s="11"/>
      <c r="D60" s="348">
        <f>$B$174*D62</f>
        <v>18.48</v>
      </c>
      <c r="E60" s="348">
        <f>$B$174*E62</f>
        <v>36.96</v>
      </c>
      <c r="F60" s="348">
        <f>$B$174*F62</f>
        <v>36.96</v>
      </c>
      <c r="G60" s="348">
        <f>$C$174*G62</f>
        <v>0</v>
      </c>
      <c r="H60" s="348">
        <f>$C$174*H62</f>
        <v>0</v>
      </c>
      <c r="I60" s="348">
        <f>$C$174*I62</f>
        <v>0</v>
      </c>
      <c r="J60" s="348">
        <f>$D$174*J62</f>
        <v>14.8</v>
      </c>
      <c r="K60" s="348">
        <f>$D$174*K62</f>
        <v>22.2</v>
      </c>
      <c r="L60" s="348">
        <f>$D$174*L62</f>
        <v>22.2</v>
      </c>
      <c r="M60" s="348">
        <f>$D$174*M62</f>
        <v>14.8</v>
      </c>
    </row>
    <row r="61" spans="1:13" x14ac:dyDescent="0.2">
      <c r="A61" s="97" t="s">
        <v>375</v>
      </c>
      <c r="B61" s="15">
        <f>E178</f>
        <v>0.67500000000000004</v>
      </c>
      <c r="C61" s="11"/>
      <c r="D61" s="336">
        <f>B61</f>
        <v>0.67500000000000004</v>
      </c>
      <c r="E61" s="336">
        <f>D61+2%</f>
        <v>0.69500000000000006</v>
      </c>
      <c r="F61" s="336">
        <f t="shared" ref="F61" si="61">E61+2%</f>
        <v>0.71500000000000008</v>
      </c>
      <c r="G61" s="336">
        <f t="shared" ref="G61" si="62">F61+2%</f>
        <v>0.7350000000000001</v>
      </c>
      <c r="H61" s="336">
        <f t="shared" ref="H61" si="63">G61+2%</f>
        <v>0.75500000000000012</v>
      </c>
      <c r="I61" s="336">
        <f t="shared" ref="I61" si="64">H61+2%</f>
        <v>0.77500000000000013</v>
      </c>
      <c r="J61" s="336">
        <f t="shared" ref="J61" si="65">I61+2%</f>
        <v>0.79500000000000015</v>
      </c>
      <c r="K61" s="336">
        <f t="shared" ref="K61" si="66">J61+2%</f>
        <v>0.81500000000000017</v>
      </c>
      <c r="L61" s="336">
        <f t="shared" ref="L61" si="67">K61+2%</f>
        <v>0.83500000000000019</v>
      </c>
      <c r="M61" s="336">
        <f t="shared" ref="M61" si="68">L61+2%</f>
        <v>0.8550000000000002</v>
      </c>
    </row>
    <row r="62" spans="1:13" x14ac:dyDescent="0.2">
      <c r="A62" s="97" t="s">
        <v>75</v>
      </c>
      <c r="B62" s="334"/>
      <c r="C62" s="11"/>
      <c r="D62" s="336">
        <v>0.2</v>
      </c>
      <c r="E62" s="336">
        <v>0.4</v>
      </c>
      <c r="F62" s="336">
        <f>1-E62-D62</f>
        <v>0.39999999999999997</v>
      </c>
      <c r="G62" s="336">
        <v>0.2</v>
      </c>
      <c r="H62" s="336">
        <v>0.4</v>
      </c>
      <c r="I62" s="336">
        <f>1-H62-G62</f>
        <v>0.39999999999999997</v>
      </c>
      <c r="J62" s="336">
        <v>0.2</v>
      </c>
      <c r="K62" s="336">
        <v>0.3</v>
      </c>
      <c r="L62" s="336">
        <v>0.3</v>
      </c>
      <c r="M62" s="336">
        <v>0.2</v>
      </c>
    </row>
    <row r="63" spans="1:13" x14ac:dyDescent="0.2">
      <c r="A63" s="97" t="s">
        <v>521</v>
      </c>
      <c r="B63" s="334"/>
      <c r="C63" s="11"/>
      <c r="D63" s="334">
        <f>D62*$B$173</f>
        <v>3696</v>
      </c>
      <c r="E63" s="334">
        <f>E62*$B$173</f>
        <v>7392</v>
      </c>
      <c r="F63" s="334">
        <f>F62*$B$173</f>
        <v>7391.9999999999991</v>
      </c>
      <c r="G63" s="334">
        <f>G62*$C$173</f>
        <v>0</v>
      </c>
      <c r="H63" s="334">
        <f>H62*$C$173</f>
        <v>0</v>
      </c>
      <c r="I63" s="334">
        <f>I62*$C$173</f>
        <v>0</v>
      </c>
      <c r="J63" s="334">
        <f>J62*$D$173</f>
        <v>2944</v>
      </c>
      <c r="K63" s="334">
        <f>K62*$D$173</f>
        <v>4416</v>
      </c>
      <c r="L63" s="334">
        <f>L62*$D$173</f>
        <v>4416</v>
      </c>
      <c r="M63" s="334">
        <f>M62*$D$173</f>
        <v>2944</v>
      </c>
    </row>
    <row r="64" spans="1:13" x14ac:dyDescent="0.2">
      <c r="A64" s="97"/>
      <c r="B64" s="334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">
      <c r="A65" s="97" t="s">
        <v>530</v>
      </c>
      <c r="B65" s="347"/>
      <c r="C65" s="347">
        <f>C16+C23+C30+C37+C45+C51+C57+C63</f>
        <v>0</v>
      </c>
      <c r="D65" s="347">
        <f>D16+D23+D30+D37+D45+D51+D57+D63</f>
        <v>89833.2</v>
      </c>
      <c r="E65" s="347">
        <f t="shared" ref="E65:M65" si="69">E16+E23+E30+E37+E45+E51+E57+E63</f>
        <v>179666.4</v>
      </c>
      <c r="F65" s="347">
        <f t="shared" si="69"/>
        <v>179666.4</v>
      </c>
      <c r="G65" s="347">
        <f t="shared" si="69"/>
        <v>27137.280000000002</v>
      </c>
      <c r="H65" s="347">
        <f t="shared" si="69"/>
        <v>54274.560000000005</v>
      </c>
      <c r="I65" s="347">
        <f t="shared" si="69"/>
        <v>54274.559999999998</v>
      </c>
      <c r="J65" s="347">
        <f t="shared" si="69"/>
        <v>54897.36</v>
      </c>
      <c r="K65" s="347">
        <f t="shared" si="69"/>
        <v>78986.039999999994</v>
      </c>
      <c r="L65" s="347">
        <f t="shared" si="69"/>
        <v>78314.039999999994</v>
      </c>
      <c r="M65" s="347">
        <f t="shared" si="69"/>
        <v>52209.36</v>
      </c>
    </row>
    <row r="66" spans="1:13" x14ac:dyDescent="0.2">
      <c r="A66" s="97" t="s">
        <v>531</v>
      </c>
      <c r="B66" s="347"/>
      <c r="C66" s="347">
        <v>0</v>
      </c>
      <c r="D66" s="347">
        <f>D65</f>
        <v>89833.2</v>
      </c>
      <c r="E66" s="347">
        <f>D66+E65</f>
        <v>269499.59999999998</v>
      </c>
      <c r="F66" s="347">
        <f t="shared" ref="F66:M66" si="70">E66+F65</f>
        <v>449166</v>
      </c>
      <c r="G66" s="347">
        <f t="shared" si="70"/>
        <v>476303.28</v>
      </c>
      <c r="H66" s="347">
        <f t="shared" si="70"/>
        <v>530577.84000000008</v>
      </c>
      <c r="I66" s="347">
        <f t="shared" si="70"/>
        <v>584852.40000000014</v>
      </c>
      <c r="J66" s="347">
        <f t="shared" si="70"/>
        <v>639749.76000000013</v>
      </c>
      <c r="K66" s="347">
        <f t="shared" si="70"/>
        <v>718735.80000000016</v>
      </c>
      <c r="L66" s="347">
        <f t="shared" si="70"/>
        <v>797049.8400000002</v>
      </c>
      <c r="M66" s="347">
        <f t="shared" si="70"/>
        <v>849259.20000000019</v>
      </c>
    </row>
    <row r="67" spans="1:13" x14ac:dyDescent="0.2">
      <c r="A67" s="97"/>
      <c r="B67" s="334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">
      <c r="A68" s="97" t="s">
        <v>103</v>
      </c>
      <c r="B68" s="334">
        <f>2*4</f>
        <v>8</v>
      </c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">
      <c r="A69" s="97" t="s">
        <v>104</v>
      </c>
      <c r="B69" s="334">
        <f>2*4</f>
        <v>8</v>
      </c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">
      <c r="A70" s="12" t="s">
        <v>108</v>
      </c>
      <c r="B70" s="11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x14ac:dyDescent="0.2">
      <c r="A71" s="21" t="s">
        <v>109</v>
      </c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13" t="s">
        <v>21</v>
      </c>
      <c r="B72" s="43"/>
      <c r="C72" s="43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2">
      <c r="A73" s="98" t="s">
        <v>532</v>
      </c>
      <c r="B73" s="11"/>
      <c r="C73" s="11"/>
    </row>
    <row r="74" spans="1:13" x14ac:dyDescent="0.2">
      <c r="A74" s="97" t="s">
        <v>323</v>
      </c>
      <c r="B74" s="11"/>
      <c r="C74" s="11"/>
      <c r="D74" s="350">
        <f t="shared" ref="D74:M74" si="71">D12*D13*D14*12</f>
        <v>152681.76000000004</v>
      </c>
      <c r="E74" s="350">
        <f t="shared" si="71"/>
        <v>320699.55456000002</v>
      </c>
      <c r="F74" s="350">
        <f t="shared" si="71"/>
        <v>336526.88509440003</v>
      </c>
      <c r="G74" s="350">
        <f t="shared" si="71"/>
        <v>0</v>
      </c>
      <c r="H74" s="350">
        <f t="shared" si="71"/>
        <v>0</v>
      </c>
      <c r="I74" s="350">
        <f t="shared" si="71"/>
        <v>0</v>
      </c>
      <c r="J74" s="350">
        <f t="shared" si="71"/>
        <v>223223.8560571511</v>
      </c>
      <c r="K74" s="350">
        <f t="shared" si="71"/>
        <v>350124.512340207</v>
      </c>
      <c r="L74" s="350">
        <f t="shared" si="71"/>
        <v>365890.85541123227</v>
      </c>
      <c r="M74" s="350">
        <f t="shared" si="71"/>
        <v>254765.20160010835</v>
      </c>
    </row>
    <row r="75" spans="1:13" x14ac:dyDescent="0.2">
      <c r="A75" s="97" t="s">
        <v>418</v>
      </c>
      <c r="B75" s="11"/>
      <c r="C75" s="11"/>
      <c r="D75" s="350">
        <f>D19*D20*D21*12</f>
        <v>229881.88800000004</v>
      </c>
      <c r="E75" s="350">
        <f t="shared" ref="E75:M75" si="72">E19*E20*E21*12</f>
        <v>480932.47411200008</v>
      </c>
      <c r="F75" s="350">
        <f t="shared" si="72"/>
        <v>502764.01463807991</v>
      </c>
      <c r="G75" s="350">
        <f t="shared" si="72"/>
        <v>142360.95811576321</v>
      </c>
      <c r="H75" s="350">
        <f t="shared" si="72"/>
        <v>297303.69893298275</v>
      </c>
      <c r="I75" s="350">
        <f t="shared" si="72"/>
        <v>310274.86417600478</v>
      </c>
      <c r="J75" s="350">
        <f t="shared" si="72"/>
        <v>105790.09040665539</v>
      </c>
      <c r="K75" s="350">
        <f t="shared" si="72"/>
        <v>165442.42883854106</v>
      </c>
      <c r="L75" s="350">
        <f t="shared" si="72"/>
        <v>172406.53974199735</v>
      </c>
      <c r="M75" s="350">
        <f t="shared" si="72"/>
        <v>119722.02540670433</v>
      </c>
    </row>
    <row r="76" spans="1:13" x14ac:dyDescent="0.2">
      <c r="A76" s="97" t="s">
        <v>61</v>
      </c>
      <c r="B76" s="11"/>
      <c r="C76" s="11"/>
      <c r="D76" s="350">
        <f>D26*D27*D28*12</f>
        <v>96844.091760000025</v>
      </c>
      <c r="E76" s="350">
        <f t="shared" ref="E76:M76" si="73">E26*E27*E28*12</f>
        <v>203640.77633472002</v>
      </c>
      <c r="F76" s="350">
        <f t="shared" si="73"/>
        <v>213913.99758862081</v>
      </c>
      <c r="G76" s="350">
        <f t="shared" si="73"/>
        <v>75386.9489829581</v>
      </c>
      <c r="H76" s="350">
        <f t="shared" si="73"/>
        <v>158121.47102172003</v>
      </c>
      <c r="I76" s="350">
        <f t="shared" si="73"/>
        <v>165702.63744056958</v>
      </c>
      <c r="J76" s="350">
        <f t="shared" si="73"/>
        <v>23775.036474737746</v>
      </c>
      <c r="K76" s="350">
        <f t="shared" si="73"/>
        <v>6220.1053218648294</v>
      </c>
      <c r="L76" s="350">
        <f t="shared" si="73"/>
        <v>0</v>
      </c>
      <c r="M76" s="350">
        <f t="shared" si="73"/>
        <v>0</v>
      </c>
    </row>
    <row r="77" spans="1:13" x14ac:dyDescent="0.2">
      <c r="A77" s="97" t="s">
        <v>386</v>
      </c>
      <c r="B77" s="11"/>
      <c r="C77" s="11"/>
      <c r="D77" s="350">
        <f>12*D33*D34*D35</f>
        <v>171766.98</v>
      </c>
      <c r="E77" s="350">
        <f t="shared" ref="E77:M77" si="74">12*E33*E34*E35</f>
        <v>360786.99888000003</v>
      </c>
      <c r="F77" s="350">
        <f t="shared" si="74"/>
        <v>378592.74573120009</v>
      </c>
      <c r="G77" s="350">
        <f t="shared" si="74"/>
        <v>0</v>
      </c>
      <c r="H77" s="350">
        <f t="shared" si="74"/>
        <v>0</v>
      </c>
      <c r="I77" s="350">
        <f t="shared" si="74"/>
        <v>0</v>
      </c>
      <c r="J77" s="350">
        <f t="shared" si="74"/>
        <v>181472.11862083571</v>
      </c>
      <c r="K77" s="350">
        <f t="shared" si="74"/>
        <v>284637.30605566164</v>
      </c>
      <c r="L77" s="350">
        <f t="shared" si="74"/>
        <v>297454.71603387373</v>
      </c>
      <c r="M77" s="350">
        <f t="shared" si="74"/>
        <v>207113.9783258613</v>
      </c>
    </row>
    <row r="78" spans="1:13" x14ac:dyDescent="0.2">
      <c r="A78" s="98" t="s">
        <v>533</v>
      </c>
      <c r="B78" s="11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x14ac:dyDescent="0.2">
      <c r="A79" s="97" t="s">
        <v>323</v>
      </c>
      <c r="B79" s="11"/>
      <c r="C79" s="11"/>
      <c r="D79" s="350">
        <f>D41*D42*D43*$B$69*365*(30-$B$68)</f>
        <v>1167651.9360000002</v>
      </c>
      <c r="E79" s="350">
        <f t="shared" ref="E79:M79" si="75">E41*E42*E43*$B$69*365*(30-$B$68)</f>
        <v>2452588.0220160005</v>
      </c>
      <c r="F79" s="350">
        <f t="shared" si="75"/>
        <v>2573629.4164838395</v>
      </c>
      <c r="G79" s="350">
        <f t="shared" si="75"/>
        <v>0</v>
      </c>
      <c r="H79" s="350">
        <f t="shared" si="75"/>
        <v>0</v>
      </c>
      <c r="I79" s="350">
        <f t="shared" si="75"/>
        <v>0</v>
      </c>
      <c r="J79" s="350">
        <f t="shared" si="75"/>
        <v>1707131.0134656413</v>
      </c>
      <c r="K79" s="350">
        <f t="shared" si="75"/>
        <v>2677618.8896112973</v>
      </c>
      <c r="L79" s="350">
        <f t="shared" si="75"/>
        <v>2798193.8751925668</v>
      </c>
      <c r="M79" s="350">
        <f t="shared" si="75"/>
        <v>1948347.2084274958</v>
      </c>
    </row>
    <row r="80" spans="1:13" x14ac:dyDescent="0.2">
      <c r="A80" s="97" t="s">
        <v>418</v>
      </c>
      <c r="B80" s="11"/>
      <c r="C80" s="11"/>
      <c r="D80" s="350">
        <f>D47*D48*D49*$B$69*365*(30-$B$68)</f>
        <v>2278952.5440000007</v>
      </c>
      <c r="E80" s="350">
        <f t="shared" ref="E80:M80" si="76">E47*E48*E49*$B$69*365*(30-$B$68)</f>
        <v>4767762.6754560005</v>
      </c>
      <c r="F80" s="350">
        <f t="shared" si="76"/>
        <v>4984191.4043750409</v>
      </c>
      <c r="G80" s="350">
        <f t="shared" si="76"/>
        <v>1426944.5305885444</v>
      </c>
      <c r="H80" s="350">
        <f t="shared" si="76"/>
        <v>2980001.6291769305</v>
      </c>
      <c r="I80" s="350">
        <f t="shared" si="76"/>
        <v>3110017.1442722939</v>
      </c>
      <c r="J80" s="350">
        <f t="shared" si="76"/>
        <v>1066534.1192284285</v>
      </c>
      <c r="K80" s="350">
        <f t="shared" si="76"/>
        <v>1667925.5537645761</v>
      </c>
      <c r="L80" s="350">
        <f t="shared" si="76"/>
        <v>1738134.9832118503</v>
      </c>
      <c r="M80" s="350">
        <f t="shared" si="76"/>
        <v>1206990.4130770068</v>
      </c>
    </row>
    <row r="81" spans="1:13" x14ac:dyDescent="0.2">
      <c r="A81" s="97" t="s">
        <v>61</v>
      </c>
      <c r="B81" s="11"/>
      <c r="C81" s="11"/>
      <c r="D81" s="350">
        <f>D53*D54*D55*$B$69*365*(30-$B$68)</f>
        <v>864064.50759200018</v>
      </c>
      <c r="E81" s="350">
        <f t="shared" ref="E81:M81" si="77">E53*E54*E55*$B$69*365*(30-$B$68)</f>
        <v>1816928.2599642244</v>
      </c>
      <c r="F81" s="350">
        <f t="shared" si="77"/>
        <v>1908588.2229295839</v>
      </c>
      <c r="G81" s="350">
        <f t="shared" si="77"/>
        <v>674725.57180300832</v>
      </c>
      <c r="H81" s="350">
        <f t="shared" si="77"/>
        <v>1415213.1289141409</v>
      </c>
      <c r="I81" s="350">
        <f t="shared" si="77"/>
        <v>1483065.8131771472</v>
      </c>
      <c r="J81" s="350">
        <f t="shared" si="77"/>
        <v>227278.02725255257</v>
      </c>
      <c r="K81" s="350">
        <f t="shared" si="77"/>
        <v>59461.244922112608</v>
      </c>
      <c r="L81" s="350">
        <f t="shared" si="77"/>
        <v>0</v>
      </c>
      <c r="M81" s="350">
        <f t="shared" si="77"/>
        <v>0</v>
      </c>
    </row>
    <row r="82" spans="1:13" x14ac:dyDescent="0.2">
      <c r="A82" s="97" t="s">
        <v>386</v>
      </c>
      <c r="B82" s="11"/>
      <c r="C82" s="11"/>
      <c r="D82" s="350">
        <f>D59*D60*D61*$B$69*365*(30-$B$68)</f>
        <v>817356.35520000022</v>
      </c>
      <c r="E82" s="350">
        <f t="shared" ref="E82:M82" si="78">E59*E60*E61*$B$69*365*(30-$B$68)</f>
        <v>1716811.6154112001</v>
      </c>
      <c r="F82" s="350">
        <f t="shared" si="78"/>
        <v>1801540.5915386882</v>
      </c>
      <c r="G82" s="350">
        <f t="shared" si="78"/>
        <v>0</v>
      </c>
      <c r="H82" s="350">
        <f t="shared" si="78"/>
        <v>0</v>
      </c>
      <c r="I82" s="350">
        <f t="shared" si="78"/>
        <v>0</v>
      </c>
      <c r="J82" s="350">
        <f t="shared" si="78"/>
        <v>868231.58073166641</v>
      </c>
      <c r="K82" s="350">
        <f t="shared" si="78"/>
        <v>1361813.0435136496</v>
      </c>
      <c r="L82" s="350">
        <f t="shared" si="78"/>
        <v>1423136.4038780066</v>
      </c>
      <c r="M82" s="350">
        <f t="shared" si="78"/>
        <v>990911.98229302175</v>
      </c>
    </row>
    <row r="83" spans="1:13" x14ac:dyDescent="0.2">
      <c r="A83" s="12" t="s">
        <v>113</v>
      </c>
      <c r="B83" s="11"/>
      <c r="C83" s="11"/>
      <c r="D83" s="349">
        <f>SUM(D74:D82)</f>
        <v>5779200.0625520013</v>
      </c>
      <c r="E83" s="349">
        <f t="shared" ref="E83:M83" si="79">SUM(E74:E82)</f>
        <v>12120150.376734145</v>
      </c>
      <c r="F83" s="349">
        <f t="shared" si="79"/>
        <v>12699747.278379453</v>
      </c>
      <c r="G83" s="349">
        <f t="shared" si="79"/>
        <v>2319418.0094902739</v>
      </c>
      <c r="H83" s="349">
        <f t="shared" si="79"/>
        <v>4850639.9280457739</v>
      </c>
      <c r="I83" s="349">
        <f t="shared" si="79"/>
        <v>5069060.4590660157</v>
      </c>
      <c r="J83" s="349">
        <f t="shared" si="79"/>
        <v>4403435.8422376681</v>
      </c>
      <c r="K83" s="349">
        <f t="shared" si="79"/>
        <v>6573243.0843679104</v>
      </c>
      <c r="L83" s="349">
        <f t="shared" si="79"/>
        <v>6795217.3734695278</v>
      </c>
      <c r="M83" s="349">
        <f t="shared" si="79"/>
        <v>4727850.8091301983</v>
      </c>
    </row>
    <row r="84" spans="1:13" x14ac:dyDescent="0.2">
      <c r="A84" s="98" t="s">
        <v>278</v>
      </c>
      <c r="B84" s="11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">
      <c r="A85" s="97" t="s">
        <v>323</v>
      </c>
      <c r="B85" s="11"/>
      <c r="C85" s="11"/>
      <c r="D85" s="349">
        <f>(D16+D45)*D17*-1</f>
        <v>-10751.946480000001</v>
      </c>
      <c r="E85" s="349">
        <f t="shared" ref="E85:M85" si="80">(E16+E45)*E17*-1</f>
        <v>-21933.9708192</v>
      </c>
      <c r="F85" s="349">
        <f t="shared" si="80"/>
        <v>-22372.650235583995</v>
      </c>
      <c r="G85" s="349">
        <f t="shared" si="80"/>
        <v>0</v>
      </c>
      <c r="H85" s="349">
        <f t="shared" si="80"/>
        <v>0</v>
      </c>
      <c r="I85" s="349">
        <f t="shared" si="80"/>
        <v>0</v>
      </c>
      <c r="J85" s="349">
        <f t="shared" si="80"/>
        <v>-13334.724336326844</v>
      </c>
      <c r="K85" s="349">
        <f t="shared" si="80"/>
        <v>-20402.128234580076</v>
      </c>
      <c r="L85" s="349">
        <f t="shared" si="80"/>
        <v>-20810.170799271677</v>
      </c>
      <c r="M85" s="349">
        <f t="shared" si="80"/>
        <v>-14150.916143504739</v>
      </c>
    </row>
    <row r="86" spans="1:13" x14ac:dyDescent="0.2">
      <c r="A86" s="97" t="s">
        <v>418</v>
      </c>
      <c r="B86" s="11"/>
      <c r="C86" s="11"/>
      <c r="D86" s="349">
        <f>(D23+D51)*D24*-1</f>
        <v>-16303.68</v>
      </c>
      <c r="E86" s="349">
        <f t="shared" ref="E86:M86" si="81">(E23+E51)*E24*-1</f>
        <v>-33259.5072</v>
      </c>
      <c r="F86" s="349">
        <f t="shared" si="81"/>
        <v>-33924.697343999993</v>
      </c>
      <c r="G86" s="349">
        <f t="shared" si="81"/>
        <v>-9378.1922342399994</v>
      </c>
      <c r="H86" s="349">
        <f t="shared" si="81"/>
        <v>-19131.5121578496</v>
      </c>
      <c r="I86" s="349">
        <f t="shared" si="81"/>
        <v>-19514.142401006589</v>
      </c>
      <c r="J86" s="349">
        <f t="shared" si="81"/>
        <v>-6506.1556215655219</v>
      </c>
      <c r="K86" s="349">
        <f t="shared" si="81"/>
        <v>-9954.4181009952499</v>
      </c>
      <c r="L86" s="349">
        <f t="shared" si="81"/>
        <v>-10153.506463015156</v>
      </c>
      <c r="M86" s="349">
        <f t="shared" si="81"/>
        <v>-6904.3843948503054</v>
      </c>
    </row>
    <row r="87" spans="1:13" x14ac:dyDescent="0.2">
      <c r="A87" s="97" t="s">
        <v>61</v>
      </c>
      <c r="B87" s="11"/>
      <c r="C87" s="11"/>
      <c r="D87" s="349">
        <f>(D30+D57)*D31*-1</f>
        <v>-7449.5455200000006</v>
      </c>
      <c r="E87" s="349">
        <f t="shared" ref="E87:M87" si="82">(E30+E57)*E31*-1</f>
        <v>-15197.072860800001</v>
      </c>
      <c r="F87" s="349">
        <f t="shared" si="82"/>
        <v>-15501.014318015998</v>
      </c>
      <c r="G87" s="349">
        <f t="shared" si="82"/>
        <v>-5308.9400692223999</v>
      </c>
      <c r="H87" s="349">
        <f t="shared" si="82"/>
        <v>-10830.237741213698</v>
      </c>
      <c r="I87" s="349">
        <f t="shared" si="82"/>
        <v>-11046.842496037969</v>
      </c>
      <c r="J87" s="349">
        <f t="shared" si="82"/>
        <v>-1543.8335373206323</v>
      </c>
      <c r="K87" s="349">
        <f t="shared" si="82"/>
        <v>-393.6775520167613</v>
      </c>
      <c r="L87" s="349">
        <f t="shared" si="82"/>
        <v>0</v>
      </c>
      <c r="M87" s="349">
        <f t="shared" si="82"/>
        <v>0</v>
      </c>
    </row>
    <row r="88" spans="1:13" x14ac:dyDescent="0.2">
      <c r="A88" s="97" t="s">
        <v>386</v>
      </c>
      <c r="B88" s="11"/>
      <c r="C88" s="11"/>
      <c r="D88" s="349">
        <f>-1*(D63+D37)*D38</f>
        <v>-11309.76</v>
      </c>
      <c r="E88" s="349">
        <f t="shared" ref="E88:M88" si="83">-1*(E63+E37)*E38</f>
        <v>-23071.910400000001</v>
      </c>
      <c r="F88" s="349">
        <f t="shared" si="83"/>
        <v>-23533.348608</v>
      </c>
      <c r="G88" s="349">
        <f t="shared" si="83"/>
        <v>0</v>
      </c>
      <c r="H88" s="349">
        <f t="shared" si="83"/>
        <v>0</v>
      </c>
      <c r="I88" s="349">
        <f t="shared" si="83"/>
        <v>0</v>
      </c>
      <c r="J88" s="349">
        <f t="shared" si="83"/>
        <v>-10145.191816678442</v>
      </c>
      <c r="K88" s="349">
        <f t="shared" si="83"/>
        <v>-15522.143479518016</v>
      </c>
      <c r="L88" s="349">
        <f t="shared" si="83"/>
        <v>-15832.586349108376</v>
      </c>
      <c r="M88" s="349">
        <f t="shared" si="83"/>
        <v>-10766.158717393697</v>
      </c>
    </row>
    <row r="89" spans="1:13" x14ac:dyDescent="0.2">
      <c r="A89" s="338" t="s">
        <v>249</v>
      </c>
      <c r="B89" s="15">
        <f>B115</f>
        <v>0.03</v>
      </c>
      <c r="C89" s="11"/>
      <c r="D89" s="349">
        <f>D83*$B$89*-1</f>
        <v>-173376.00187656004</v>
      </c>
      <c r="E89" s="349">
        <f t="shared" ref="E89:M89" si="84">E83*$B$89*-1</f>
        <v>-363604.51130202436</v>
      </c>
      <c r="F89" s="349">
        <f t="shared" si="84"/>
        <v>-380992.41835138359</v>
      </c>
      <c r="G89" s="349">
        <f t="shared" si="84"/>
        <v>-69582.540284708215</v>
      </c>
      <c r="H89" s="349">
        <f t="shared" si="84"/>
        <v>-145519.19784137321</v>
      </c>
      <c r="I89" s="349">
        <f t="shared" si="84"/>
        <v>-152071.81377198047</v>
      </c>
      <c r="J89" s="349">
        <f t="shared" si="84"/>
        <v>-132103.07526713004</v>
      </c>
      <c r="K89" s="349">
        <f t="shared" si="84"/>
        <v>-197197.2925310373</v>
      </c>
      <c r="L89" s="349">
        <f t="shared" si="84"/>
        <v>-203856.52120408582</v>
      </c>
      <c r="M89" s="349">
        <f t="shared" si="84"/>
        <v>-141835.52427390593</v>
      </c>
    </row>
    <row r="90" spans="1:13" x14ac:dyDescent="0.2">
      <c r="A90" s="338" t="s">
        <v>21</v>
      </c>
      <c r="B90" s="11"/>
      <c r="C90" s="11"/>
      <c r="D90" s="350">
        <f>SUM(D83:D89)</f>
        <v>5560009.1286754413</v>
      </c>
      <c r="E90" s="350">
        <f t="shared" ref="E90:M90" si="85">SUM(E83:E89)</f>
        <v>11663083.404152121</v>
      </c>
      <c r="F90" s="350">
        <f t="shared" si="85"/>
        <v>12223423.14952247</v>
      </c>
      <c r="G90" s="350">
        <f t="shared" si="85"/>
        <v>2235148.3369021034</v>
      </c>
      <c r="H90" s="350">
        <f t="shared" si="85"/>
        <v>4675158.9803053373</v>
      </c>
      <c r="I90" s="350">
        <f t="shared" si="85"/>
        <v>4886427.6603969894</v>
      </c>
      <c r="J90" s="350">
        <f t="shared" si="85"/>
        <v>4239802.8616586458</v>
      </c>
      <c r="K90" s="350">
        <f t="shared" si="85"/>
        <v>6329773.4244697634</v>
      </c>
      <c r="L90" s="350">
        <f t="shared" si="85"/>
        <v>6544564.5886540459</v>
      </c>
      <c r="M90" s="350">
        <f t="shared" si="85"/>
        <v>4554193.8256005431</v>
      </c>
    </row>
    <row r="91" spans="1:13" x14ac:dyDescent="0.2">
      <c r="A91" s="13" t="s">
        <v>15</v>
      </c>
      <c r="B91" s="43"/>
      <c r="C91" s="43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">
      <c r="A92" s="97" t="s">
        <v>323</v>
      </c>
      <c r="B92" s="339"/>
      <c r="C92" s="339"/>
      <c r="D92" s="349">
        <f t="shared" ref="D92:M92" si="86">-1*(D16+D45)*$B$125</f>
        <v>-1686579.8399999999</v>
      </c>
      <c r="E92" s="349">
        <f t="shared" si="86"/>
        <v>-3373159.6799999997</v>
      </c>
      <c r="F92" s="349">
        <f t="shared" si="86"/>
        <v>-3373159.6799999992</v>
      </c>
      <c r="G92" s="349">
        <f t="shared" si="86"/>
        <v>0</v>
      </c>
      <c r="H92" s="349">
        <f t="shared" si="86"/>
        <v>0</v>
      </c>
      <c r="I92" s="349">
        <f t="shared" si="86"/>
        <v>0</v>
      </c>
      <c r="J92" s="349">
        <f t="shared" si="86"/>
        <v>-1857388.8</v>
      </c>
      <c r="K92" s="349">
        <f t="shared" si="86"/>
        <v>-2786083.2</v>
      </c>
      <c r="L92" s="349">
        <f t="shared" si="86"/>
        <v>-2786083.2</v>
      </c>
      <c r="M92" s="349">
        <f t="shared" si="86"/>
        <v>-1857388.8</v>
      </c>
    </row>
    <row r="93" spans="1:13" x14ac:dyDescent="0.2">
      <c r="A93" s="97" t="s">
        <v>418</v>
      </c>
      <c r="B93" s="339"/>
      <c r="C93" s="339"/>
      <c r="D93" s="349">
        <f t="shared" ref="D93:M93" si="87">-1*(D23+D51)*$B$125</f>
        <v>-2557440</v>
      </c>
      <c r="E93" s="349">
        <f t="shared" si="87"/>
        <v>-5114880</v>
      </c>
      <c r="F93" s="349">
        <f t="shared" si="87"/>
        <v>-5114879.9999999991</v>
      </c>
      <c r="G93" s="349">
        <f t="shared" si="87"/>
        <v>-1386240</v>
      </c>
      <c r="H93" s="349">
        <f t="shared" si="87"/>
        <v>-2772480</v>
      </c>
      <c r="I93" s="349">
        <f t="shared" si="87"/>
        <v>-2772479.9999999995</v>
      </c>
      <c r="J93" s="349">
        <f t="shared" si="87"/>
        <v>-906240</v>
      </c>
      <c r="K93" s="349">
        <f t="shared" si="87"/>
        <v>-1359360</v>
      </c>
      <c r="L93" s="349">
        <f t="shared" si="87"/>
        <v>-1359360</v>
      </c>
      <c r="M93" s="349">
        <f t="shared" si="87"/>
        <v>-906240</v>
      </c>
    </row>
    <row r="94" spans="1:13" x14ac:dyDescent="0.2">
      <c r="A94" s="97" t="s">
        <v>61</v>
      </c>
      <c r="B94" s="339"/>
      <c r="C94" s="339"/>
      <c r="D94" s="349">
        <f t="shared" ref="D94:M94" si="88">-1*(D30+D57)*$B$125</f>
        <v>-1168556.1600000001</v>
      </c>
      <c r="E94" s="349">
        <f t="shared" si="88"/>
        <v>-2337112.3200000003</v>
      </c>
      <c r="F94" s="349">
        <f t="shared" si="88"/>
        <v>-2337112.3199999998</v>
      </c>
      <c r="G94" s="349">
        <f t="shared" si="88"/>
        <v>-784742.40000000002</v>
      </c>
      <c r="H94" s="349">
        <f t="shared" si="88"/>
        <v>-1569484.8</v>
      </c>
      <c r="I94" s="349">
        <f t="shared" si="88"/>
        <v>-1569484.7999999998</v>
      </c>
      <c r="J94" s="349">
        <f t="shared" si="88"/>
        <v>-215040</v>
      </c>
      <c r="K94" s="349">
        <f t="shared" si="88"/>
        <v>-53760</v>
      </c>
      <c r="L94" s="349">
        <f t="shared" si="88"/>
        <v>0</v>
      </c>
      <c r="M94" s="349">
        <f t="shared" si="88"/>
        <v>0</v>
      </c>
    </row>
    <row r="95" spans="1:13" x14ac:dyDescent="0.2">
      <c r="A95" s="97" t="s">
        <v>386</v>
      </c>
      <c r="B95" s="339"/>
      <c r="C95" s="339"/>
      <c r="D95" s="349">
        <f t="shared" ref="D95:M95" si="89">-1*(D37+D63)*$B$125</f>
        <v>-1774080</v>
      </c>
      <c r="E95" s="349">
        <f t="shared" si="89"/>
        <v>-3548160</v>
      </c>
      <c r="F95" s="349">
        <f t="shared" si="89"/>
        <v>-3548160</v>
      </c>
      <c r="G95" s="349">
        <f t="shared" si="89"/>
        <v>0</v>
      </c>
      <c r="H95" s="349">
        <f t="shared" si="89"/>
        <v>0</v>
      </c>
      <c r="I95" s="349">
        <f t="shared" si="89"/>
        <v>0</v>
      </c>
      <c r="J95" s="349">
        <f t="shared" si="89"/>
        <v>-1413120</v>
      </c>
      <c r="K95" s="349">
        <f t="shared" si="89"/>
        <v>-2119680</v>
      </c>
      <c r="L95" s="349">
        <f t="shared" si="89"/>
        <v>-2119680</v>
      </c>
      <c r="M95" s="349">
        <f t="shared" si="89"/>
        <v>-1413120</v>
      </c>
    </row>
    <row r="96" spans="1:13" x14ac:dyDescent="0.2">
      <c r="A96" s="12" t="s">
        <v>118</v>
      </c>
      <c r="B96" s="15">
        <v>0.2</v>
      </c>
      <c r="C96" s="11"/>
      <c r="D96" s="349">
        <f t="shared" ref="D96:M96" si="90">SUM(D92:D95)*$B$96</f>
        <v>-1437331.2000000002</v>
      </c>
      <c r="E96" s="349">
        <f t="shared" si="90"/>
        <v>-2874662.4000000004</v>
      </c>
      <c r="F96" s="349">
        <f t="shared" si="90"/>
        <v>-2874662.4</v>
      </c>
      <c r="G96" s="349">
        <f t="shared" si="90"/>
        <v>-434196.47999999998</v>
      </c>
      <c r="H96" s="349">
        <f t="shared" si="90"/>
        <v>-868392.95999999996</v>
      </c>
      <c r="I96" s="349">
        <f t="shared" si="90"/>
        <v>-868392.95999999985</v>
      </c>
      <c r="J96" s="349">
        <f t="shared" si="90"/>
        <v>-878357.76</v>
      </c>
      <c r="K96" s="349">
        <f t="shared" si="90"/>
        <v>-1263776.6400000001</v>
      </c>
      <c r="L96" s="349">
        <f t="shared" si="90"/>
        <v>-1253024.6400000001</v>
      </c>
      <c r="M96" s="349">
        <f t="shared" si="90"/>
        <v>-835349.76</v>
      </c>
    </row>
    <row r="97" spans="1:13" x14ac:dyDescent="0.2">
      <c r="A97" s="12" t="s">
        <v>52</v>
      </c>
      <c r="B97" s="11"/>
      <c r="C97" s="11"/>
      <c r="D97" s="349"/>
      <c r="E97" s="349"/>
      <c r="F97" s="349"/>
      <c r="G97" s="349"/>
      <c r="H97" s="349"/>
      <c r="I97" s="349"/>
      <c r="J97" s="349"/>
      <c r="K97" s="349"/>
      <c r="L97" s="349"/>
      <c r="M97" s="349"/>
    </row>
    <row r="98" spans="1:13" x14ac:dyDescent="0.2">
      <c r="A98" s="5" t="s">
        <v>19</v>
      </c>
      <c r="B98" s="4"/>
      <c r="C98" s="4"/>
      <c r="D98" s="352">
        <f t="shared" ref="D98:M98" si="91">SUM(D92:D96)</f>
        <v>-8623987.1999999993</v>
      </c>
      <c r="E98" s="352">
        <f t="shared" si="91"/>
        <v>-17247974.399999999</v>
      </c>
      <c r="F98" s="352">
        <f t="shared" si="91"/>
        <v>-17247974.399999999</v>
      </c>
      <c r="G98" s="352">
        <f t="shared" si="91"/>
        <v>-2605178.8799999999</v>
      </c>
      <c r="H98" s="352">
        <f t="shared" si="91"/>
        <v>-5210357.7599999998</v>
      </c>
      <c r="I98" s="352">
        <f t="shared" si="91"/>
        <v>-5210357.7599999988</v>
      </c>
      <c r="J98" s="352">
        <f t="shared" si="91"/>
        <v>-5270146.5599999996</v>
      </c>
      <c r="K98" s="352">
        <f t="shared" si="91"/>
        <v>-7582659.8399999999</v>
      </c>
      <c r="L98" s="352">
        <f t="shared" si="91"/>
        <v>-7518147.8399999999</v>
      </c>
      <c r="M98" s="352">
        <f t="shared" si="91"/>
        <v>-5012098.5599999996</v>
      </c>
    </row>
    <row r="99" spans="1:13" x14ac:dyDescent="0.2">
      <c r="A99" s="13" t="s">
        <v>20</v>
      </c>
      <c r="B99" s="43"/>
      <c r="C99" s="43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">
      <c r="A100" s="12" t="s">
        <v>21</v>
      </c>
      <c r="B100" s="11"/>
      <c r="C100" s="11"/>
      <c r="D100" s="349">
        <f>D90</f>
        <v>5560009.1286754413</v>
      </c>
      <c r="E100" s="349">
        <f t="shared" ref="E100:M100" si="92">E90</f>
        <v>11663083.404152121</v>
      </c>
      <c r="F100" s="349">
        <f t="shared" si="92"/>
        <v>12223423.14952247</v>
      </c>
      <c r="G100" s="349">
        <f t="shared" si="92"/>
        <v>2235148.3369021034</v>
      </c>
      <c r="H100" s="349">
        <f t="shared" si="92"/>
        <v>4675158.9803053373</v>
      </c>
      <c r="I100" s="349">
        <f t="shared" si="92"/>
        <v>4886427.6603969894</v>
      </c>
      <c r="J100" s="349">
        <f t="shared" si="92"/>
        <v>4239802.8616586458</v>
      </c>
      <c r="K100" s="349">
        <f t="shared" si="92"/>
        <v>6329773.4244697634</v>
      </c>
      <c r="L100" s="349">
        <f t="shared" si="92"/>
        <v>6544564.5886540459</v>
      </c>
      <c r="M100" s="349">
        <f t="shared" si="92"/>
        <v>4554193.8256005431</v>
      </c>
    </row>
    <row r="101" spans="1:13" x14ac:dyDescent="0.2">
      <c r="A101" s="12" t="s">
        <v>76</v>
      </c>
      <c r="B101" s="15">
        <f>B122</f>
        <v>0.1</v>
      </c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M101" s="351">
        <f>M100/B101</f>
        <v>45541938.256005429</v>
      </c>
    </row>
    <row r="102" spans="1:13" x14ac:dyDescent="0.2">
      <c r="A102" s="12" t="s">
        <v>77</v>
      </c>
      <c r="B102" s="15">
        <v>0.03</v>
      </c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351">
        <f>M101*B102*-1</f>
        <v>-1366258.1476801629</v>
      </c>
    </row>
    <row r="103" spans="1:13" x14ac:dyDescent="0.2">
      <c r="A103" s="12" t="s">
        <v>253</v>
      </c>
      <c r="B103" s="15">
        <f>B123</f>
        <v>0.05</v>
      </c>
      <c r="C103" s="11"/>
      <c r="D103" s="349">
        <f>-1*(D100*$B$103)</f>
        <v>-278000.45643377205</v>
      </c>
      <c r="E103" s="349">
        <f t="shared" ref="E103:M103" si="93">-1*(E100*$B$103)</f>
        <v>-583154.17020760605</v>
      </c>
      <c r="F103" s="349">
        <f t="shared" si="93"/>
        <v>-611171.15747612354</v>
      </c>
      <c r="G103" s="349">
        <f t="shared" si="93"/>
        <v>-111757.41684510518</v>
      </c>
      <c r="H103" s="349">
        <f t="shared" si="93"/>
        <v>-233757.94901526687</v>
      </c>
      <c r="I103" s="349">
        <f t="shared" si="93"/>
        <v>-244321.38301984948</v>
      </c>
      <c r="J103" s="349">
        <f t="shared" si="93"/>
        <v>-211990.14308293231</v>
      </c>
      <c r="K103" s="349">
        <f t="shared" si="93"/>
        <v>-316488.67122348817</v>
      </c>
      <c r="L103" s="349">
        <f t="shared" si="93"/>
        <v>-327228.2294327023</v>
      </c>
      <c r="M103" s="349">
        <f t="shared" si="93"/>
        <v>-227709.69128002715</v>
      </c>
    </row>
    <row r="104" spans="1:13" x14ac:dyDescent="0.2">
      <c r="A104" s="12" t="s">
        <v>19</v>
      </c>
      <c r="B104" s="11"/>
      <c r="C104" s="11"/>
      <c r="D104" s="349">
        <f>D98</f>
        <v>-8623987.1999999993</v>
      </c>
      <c r="E104" s="349">
        <f t="shared" ref="E104:M104" si="94">E98</f>
        <v>-17247974.399999999</v>
      </c>
      <c r="F104" s="349">
        <f t="shared" si="94"/>
        <v>-17247974.399999999</v>
      </c>
      <c r="G104" s="349">
        <f t="shared" si="94"/>
        <v>-2605178.8799999999</v>
      </c>
      <c r="H104" s="349">
        <f t="shared" si="94"/>
        <v>-5210357.7599999998</v>
      </c>
      <c r="I104" s="349">
        <f t="shared" si="94"/>
        <v>-5210357.7599999988</v>
      </c>
      <c r="J104" s="349">
        <f t="shared" si="94"/>
        <v>-5270146.5599999996</v>
      </c>
      <c r="K104" s="349">
        <f t="shared" si="94"/>
        <v>-7582659.8399999999</v>
      </c>
      <c r="L104" s="349">
        <f t="shared" si="94"/>
        <v>-7518147.8399999999</v>
      </c>
      <c r="M104" s="349">
        <f t="shared" si="94"/>
        <v>-5012098.5599999996</v>
      </c>
    </row>
    <row r="105" spans="1:13" x14ac:dyDescent="0.2">
      <c r="A105" s="341" t="s">
        <v>24</v>
      </c>
      <c r="B105" s="342"/>
      <c r="C105" s="342"/>
      <c r="D105" s="353">
        <f>SUM(D100:D104)</f>
        <v>-3341978.5277583301</v>
      </c>
      <c r="E105" s="353">
        <f t="shared" ref="E105:M105" si="95">SUM(E100:E104)</f>
        <v>-6168045.1660554837</v>
      </c>
      <c r="F105" s="353">
        <f t="shared" si="95"/>
        <v>-5635722.4079536516</v>
      </c>
      <c r="G105" s="353">
        <f t="shared" si="95"/>
        <v>-481787.95994300162</v>
      </c>
      <c r="H105" s="353">
        <f t="shared" si="95"/>
        <v>-768956.72870992962</v>
      </c>
      <c r="I105" s="353">
        <f t="shared" si="95"/>
        <v>-568251.48262285907</v>
      </c>
      <c r="J105" s="353">
        <f t="shared" si="95"/>
        <v>-1242333.8414242859</v>
      </c>
      <c r="K105" s="353">
        <f t="shared" si="95"/>
        <v>-1569375.0867537241</v>
      </c>
      <c r="L105" s="353">
        <f t="shared" si="95"/>
        <v>-1300811.480778656</v>
      </c>
      <c r="M105" s="353">
        <f t="shared" si="95"/>
        <v>43490065.682645775</v>
      </c>
    </row>
    <row r="106" spans="1:13" x14ac:dyDescent="0.2">
      <c r="A106" s="343" t="s">
        <v>27</v>
      </c>
      <c r="B106" s="355">
        <f>NPV(B101,D105:M105)</f>
        <v>1348778.7916755471</v>
      </c>
      <c r="C106" s="344"/>
      <c r="D106" s="345"/>
      <c r="E106" s="345"/>
      <c r="F106" s="345"/>
      <c r="G106" s="345"/>
      <c r="H106" s="345"/>
      <c r="I106" s="345"/>
      <c r="J106" s="345"/>
      <c r="K106" s="345"/>
      <c r="L106" s="345"/>
      <c r="M106" s="346"/>
    </row>
    <row r="107" spans="1:13" x14ac:dyDescent="0.2">
      <c r="A107" s="7" t="s">
        <v>29</v>
      </c>
      <c r="B107" s="354">
        <f>IRR(D105:M105,B101)</f>
        <v>0.11327898959482363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">
      <c r="A108" s="7" t="s">
        <v>31</v>
      </c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11" spans="1:13" x14ac:dyDescent="0.2">
      <c r="A111" s="86" t="s">
        <v>245</v>
      </c>
      <c r="B111" s="214"/>
      <c r="C111" s="1"/>
    </row>
    <row r="112" spans="1:13" x14ac:dyDescent="0.2">
      <c r="A112" s="329" t="s">
        <v>246</v>
      </c>
      <c r="B112" s="145">
        <v>0.02</v>
      </c>
      <c r="C112" s="1"/>
    </row>
    <row r="113" spans="1:6" x14ac:dyDescent="0.2">
      <c r="A113" s="139" t="s">
        <v>247</v>
      </c>
      <c r="B113" s="145">
        <v>0.1</v>
      </c>
      <c r="C113" s="1"/>
    </row>
    <row r="114" spans="1:6" x14ac:dyDescent="0.2">
      <c r="A114" s="139" t="s">
        <v>248</v>
      </c>
      <c r="B114" s="145">
        <v>0.04</v>
      </c>
      <c r="C114" s="1"/>
    </row>
    <row r="115" spans="1:6" x14ac:dyDescent="0.2">
      <c r="A115" s="139" t="s">
        <v>249</v>
      </c>
      <c r="B115" s="145">
        <v>0.03</v>
      </c>
      <c r="C115" s="1"/>
    </row>
    <row r="116" spans="1:6" x14ac:dyDescent="0.2">
      <c r="A116" s="139" t="s">
        <v>250</v>
      </c>
      <c r="B116" s="145">
        <v>0</v>
      </c>
      <c r="C116" s="1"/>
    </row>
    <row r="117" spans="1:6" x14ac:dyDescent="0.2">
      <c r="A117" s="139" t="s">
        <v>251</v>
      </c>
      <c r="B117" s="141">
        <v>1.7528999999999999</v>
      </c>
      <c r="C117" s="1" t="s">
        <v>255</v>
      </c>
    </row>
    <row r="118" spans="1:6" x14ac:dyDescent="0.2">
      <c r="A118" s="139" t="s">
        <v>85</v>
      </c>
      <c r="B118" s="145">
        <v>0.03</v>
      </c>
      <c r="C118" s="1"/>
    </row>
    <row r="119" spans="1:6" x14ac:dyDescent="0.2">
      <c r="A119" s="139" t="s">
        <v>505</v>
      </c>
      <c r="B119" s="141">
        <v>200</v>
      </c>
      <c r="C119" s="1"/>
    </row>
    <row r="120" spans="1:6" x14ac:dyDescent="0.2">
      <c r="A120" s="139" t="s">
        <v>253</v>
      </c>
      <c r="B120" s="145">
        <v>0.05</v>
      </c>
      <c r="C120" s="1"/>
    </row>
    <row r="121" spans="1:6" x14ac:dyDescent="0.2">
      <c r="A121" s="139" t="s">
        <v>254</v>
      </c>
      <c r="B121" s="145">
        <v>0.01</v>
      </c>
      <c r="C121" s="1"/>
    </row>
    <row r="122" spans="1:6" x14ac:dyDescent="0.2">
      <c r="A122" s="139" t="s">
        <v>242</v>
      </c>
      <c r="B122" s="145">
        <v>0.1</v>
      </c>
      <c r="C122" s="1"/>
    </row>
    <row r="123" spans="1:6" x14ac:dyDescent="0.2">
      <c r="A123" s="139" t="s">
        <v>506</v>
      </c>
      <c r="B123" s="145">
        <v>0.05</v>
      </c>
      <c r="C123" s="1"/>
    </row>
    <row r="124" spans="1:6" x14ac:dyDescent="0.2">
      <c r="A124" s="139" t="s">
        <v>517</v>
      </c>
      <c r="B124" s="145">
        <v>0.2</v>
      </c>
      <c r="C124" s="1"/>
    </row>
    <row r="125" spans="1:6" x14ac:dyDescent="0.2">
      <c r="A125" s="146" t="s">
        <v>275</v>
      </c>
      <c r="B125" s="316">
        <v>80</v>
      </c>
      <c r="C125" s="1"/>
    </row>
    <row r="126" spans="1:6" x14ac:dyDescent="0.2">
      <c r="B126" s="1"/>
      <c r="C126" s="1"/>
    </row>
    <row r="127" spans="1:6" x14ac:dyDescent="0.2">
      <c r="B127" s="1"/>
      <c r="C127" s="1"/>
    </row>
    <row r="128" spans="1:6" x14ac:dyDescent="0.2">
      <c r="A128" s="324" t="s">
        <v>507</v>
      </c>
      <c r="B128" s="325"/>
      <c r="C128" s="325"/>
      <c r="D128" s="325"/>
      <c r="E128" s="325"/>
      <c r="F128" s="325"/>
    </row>
    <row r="129" spans="1:6" x14ac:dyDescent="0.2">
      <c r="A129" s="2" t="s">
        <v>323</v>
      </c>
      <c r="B129" s="1"/>
      <c r="C129" s="1"/>
    </row>
    <row r="130" spans="1:6" x14ac:dyDescent="0.2">
      <c r="A130" s="210" t="s">
        <v>257</v>
      </c>
      <c r="B130" s="137"/>
      <c r="C130" s="137"/>
      <c r="D130" s="138"/>
      <c r="E130" s="210"/>
      <c r="F130" s="315"/>
    </row>
    <row r="131" spans="1:6" x14ac:dyDescent="0.2">
      <c r="A131" s="149"/>
      <c r="B131" s="102" t="s">
        <v>226</v>
      </c>
      <c r="C131" s="105" t="s">
        <v>187</v>
      </c>
      <c r="D131" s="140" t="s">
        <v>117</v>
      </c>
      <c r="E131" s="211"/>
      <c r="F131" s="150"/>
    </row>
    <row r="132" spans="1:6" x14ac:dyDescent="0.2">
      <c r="A132" s="139" t="s">
        <v>508</v>
      </c>
      <c r="B132" s="327">
        <v>87842.7</v>
      </c>
      <c r="C132" s="327"/>
      <c r="D132" s="327">
        <v>96739</v>
      </c>
      <c r="E132" s="327">
        <v>184581.7</v>
      </c>
      <c r="F132" s="141" t="s">
        <v>40</v>
      </c>
    </row>
    <row r="133" spans="1:6" x14ac:dyDescent="0.2">
      <c r="A133" s="139" t="s">
        <v>509</v>
      </c>
      <c r="B133" s="327">
        <v>440</v>
      </c>
      <c r="C133" s="327"/>
      <c r="D133" s="327">
        <v>485</v>
      </c>
      <c r="E133" s="327">
        <v>925</v>
      </c>
      <c r="F133" s="141" t="s">
        <v>40</v>
      </c>
    </row>
    <row r="134" spans="1:6" x14ac:dyDescent="0.2">
      <c r="A134" s="139" t="s">
        <v>510</v>
      </c>
      <c r="B134" s="327">
        <v>17568.54</v>
      </c>
      <c r="C134" s="327"/>
      <c r="D134" s="327">
        <v>19347.8</v>
      </c>
      <c r="E134" s="327">
        <v>36916.339999999997</v>
      </c>
      <c r="F134" s="141" t="s">
        <v>40</v>
      </c>
    </row>
    <row r="135" spans="1:6" x14ac:dyDescent="0.2">
      <c r="A135" s="139" t="s">
        <v>511</v>
      </c>
      <c r="B135" s="327">
        <v>88</v>
      </c>
      <c r="C135" s="327"/>
      <c r="D135" s="327">
        <v>97</v>
      </c>
      <c r="E135" s="327">
        <v>185</v>
      </c>
      <c r="F135" s="141" t="s">
        <v>40</v>
      </c>
    </row>
    <row r="136" spans="1:6" x14ac:dyDescent="0.2">
      <c r="A136" s="139" t="s">
        <v>512</v>
      </c>
      <c r="B136" s="219">
        <v>0.5</v>
      </c>
      <c r="C136" s="219"/>
      <c r="D136" s="219">
        <v>0.5</v>
      </c>
      <c r="E136" s="219">
        <v>0.5</v>
      </c>
      <c r="F136" s="141" t="s">
        <v>269</v>
      </c>
    </row>
    <row r="137" spans="1:6" x14ac:dyDescent="0.2">
      <c r="A137" s="139" t="s">
        <v>370</v>
      </c>
      <c r="B137" s="219">
        <v>180</v>
      </c>
      <c r="C137" s="219"/>
      <c r="D137" s="219">
        <v>180</v>
      </c>
      <c r="E137" s="219">
        <v>180</v>
      </c>
      <c r="F137" s="141" t="s">
        <v>269</v>
      </c>
    </row>
    <row r="138" spans="1:6" x14ac:dyDescent="0.2">
      <c r="A138" s="139" t="s">
        <v>513</v>
      </c>
      <c r="B138" s="219">
        <v>1</v>
      </c>
      <c r="C138" s="219"/>
      <c r="D138" s="219">
        <v>2</v>
      </c>
      <c r="E138" s="219">
        <v>1.5</v>
      </c>
      <c r="F138" s="141" t="s">
        <v>269</v>
      </c>
    </row>
    <row r="139" spans="1:6" x14ac:dyDescent="0.2">
      <c r="A139" s="146" t="s">
        <v>514</v>
      </c>
      <c r="B139" s="185">
        <v>0.6</v>
      </c>
      <c r="C139" s="185"/>
      <c r="D139" s="185">
        <v>0.75</v>
      </c>
      <c r="E139" s="185">
        <v>0.67500000000000004</v>
      </c>
      <c r="F139" s="154" t="s">
        <v>269</v>
      </c>
    </row>
    <row r="140" spans="1:6" x14ac:dyDescent="0.2">
      <c r="B140" s="1"/>
      <c r="C140" s="1"/>
    </row>
    <row r="141" spans="1:6" x14ac:dyDescent="0.2">
      <c r="A141" s="2" t="s">
        <v>418</v>
      </c>
      <c r="B141" s="1"/>
      <c r="C141" s="1"/>
    </row>
    <row r="142" spans="1:6" x14ac:dyDescent="0.2">
      <c r="A142" s="210" t="s">
        <v>257</v>
      </c>
      <c r="B142" s="137"/>
      <c r="C142" s="137"/>
      <c r="D142" s="138"/>
      <c r="E142" s="210"/>
      <c r="F142" s="315"/>
    </row>
    <row r="143" spans="1:6" x14ac:dyDescent="0.2">
      <c r="A143" s="149" t="s">
        <v>261</v>
      </c>
      <c r="B143" s="102" t="s">
        <v>226</v>
      </c>
      <c r="C143" s="105" t="s">
        <v>187</v>
      </c>
      <c r="D143" s="140" t="s">
        <v>117</v>
      </c>
      <c r="E143" s="211"/>
      <c r="F143" s="150"/>
    </row>
    <row r="144" spans="1:6" x14ac:dyDescent="0.2">
      <c r="A144" s="139" t="s">
        <v>508</v>
      </c>
      <c r="B144" s="327">
        <v>133200</v>
      </c>
      <c r="C144" s="327">
        <v>72200</v>
      </c>
      <c r="D144" s="327">
        <v>47200</v>
      </c>
      <c r="E144" s="327">
        <v>252600</v>
      </c>
      <c r="F144" s="141" t="s">
        <v>40</v>
      </c>
    </row>
    <row r="145" spans="1:6" x14ac:dyDescent="0.2">
      <c r="A145" s="139" t="s">
        <v>509</v>
      </c>
      <c r="B145" s="327">
        <v>666</v>
      </c>
      <c r="C145" s="327">
        <v>361</v>
      </c>
      <c r="D145" s="327">
        <v>236</v>
      </c>
      <c r="E145" s="327">
        <v>1263</v>
      </c>
      <c r="F145" s="141" t="s">
        <v>40</v>
      </c>
    </row>
    <row r="146" spans="1:6" x14ac:dyDescent="0.2">
      <c r="A146" s="139" t="s">
        <v>510</v>
      </c>
      <c r="B146" s="327">
        <v>26640</v>
      </c>
      <c r="C146" s="327">
        <v>14440</v>
      </c>
      <c r="D146" s="327">
        <v>9440</v>
      </c>
      <c r="E146" s="327">
        <v>50520</v>
      </c>
      <c r="F146" s="141" t="s">
        <v>40</v>
      </c>
    </row>
    <row r="147" spans="1:6" x14ac:dyDescent="0.2">
      <c r="A147" s="139" t="s">
        <v>511</v>
      </c>
      <c r="B147" s="327">
        <v>133.20000000000002</v>
      </c>
      <c r="C147" s="327">
        <v>73</v>
      </c>
      <c r="D147" s="327">
        <v>48</v>
      </c>
      <c r="E147" s="327">
        <v>254.20000000000002</v>
      </c>
      <c r="F147" s="141" t="s">
        <v>40</v>
      </c>
    </row>
    <row r="148" spans="1:6" x14ac:dyDescent="0.2">
      <c r="A148" s="139" t="s">
        <v>512</v>
      </c>
      <c r="B148" s="219">
        <v>0.5</v>
      </c>
      <c r="C148" s="219">
        <v>0.5</v>
      </c>
      <c r="D148" s="219">
        <v>0.5</v>
      </c>
      <c r="E148" s="219">
        <v>0.5</v>
      </c>
      <c r="F148" s="141" t="s">
        <v>269</v>
      </c>
    </row>
    <row r="149" spans="1:6" x14ac:dyDescent="0.2">
      <c r="A149" s="139" t="s">
        <v>370</v>
      </c>
      <c r="B149" s="219">
        <v>180</v>
      </c>
      <c r="C149" s="219">
        <v>180</v>
      </c>
      <c r="D149" s="219">
        <v>180</v>
      </c>
      <c r="E149" s="219">
        <v>180</v>
      </c>
      <c r="F149" s="141" t="s">
        <v>269</v>
      </c>
    </row>
    <row r="150" spans="1:6" x14ac:dyDescent="0.2">
      <c r="A150" s="139" t="s">
        <v>513</v>
      </c>
      <c r="B150" s="219">
        <v>1</v>
      </c>
      <c r="C150" s="219">
        <v>2</v>
      </c>
      <c r="D150" s="219">
        <v>2</v>
      </c>
      <c r="E150" s="219">
        <v>1.6666666666666667</v>
      </c>
      <c r="F150" s="141" t="s">
        <v>269</v>
      </c>
    </row>
    <row r="151" spans="1:6" x14ac:dyDescent="0.2">
      <c r="A151" s="146" t="s">
        <v>514</v>
      </c>
      <c r="B151" s="185">
        <v>0.75</v>
      </c>
      <c r="C151" s="185">
        <v>0.75</v>
      </c>
      <c r="D151" s="185">
        <v>0.85</v>
      </c>
      <c r="E151" s="185">
        <v>0.78333333333333333</v>
      </c>
      <c r="F151" s="154" t="s">
        <v>269</v>
      </c>
    </row>
    <row r="152" spans="1:6" x14ac:dyDescent="0.2">
      <c r="B152" s="1"/>
      <c r="C152" s="1"/>
    </row>
    <row r="153" spans="1:6" x14ac:dyDescent="0.2">
      <c r="A153" s="2" t="s">
        <v>61</v>
      </c>
      <c r="B153" s="1"/>
      <c r="C153" s="1"/>
    </row>
    <row r="154" spans="1:6" x14ac:dyDescent="0.2">
      <c r="A154" s="210" t="s">
        <v>257</v>
      </c>
      <c r="B154" s="210" t="s">
        <v>258</v>
      </c>
      <c r="C154" s="210" t="s">
        <v>259</v>
      </c>
      <c r="D154" s="210" t="s">
        <v>260</v>
      </c>
      <c r="E154" s="210"/>
      <c r="F154" s="315"/>
    </row>
    <row r="155" spans="1:6" x14ac:dyDescent="0.2">
      <c r="A155" s="149" t="s">
        <v>261</v>
      </c>
      <c r="B155" s="102" t="s">
        <v>262</v>
      </c>
      <c r="C155" s="105" t="s">
        <v>263</v>
      </c>
      <c r="D155" s="140" t="s">
        <v>264</v>
      </c>
      <c r="E155" s="211"/>
      <c r="F155" s="150"/>
    </row>
    <row r="156" spans="1:6" x14ac:dyDescent="0.2">
      <c r="A156" s="139" t="s">
        <v>508</v>
      </c>
      <c r="B156" s="327">
        <v>60862.3</v>
      </c>
      <c r="C156" s="327">
        <v>40872</v>
      </c>
      <c r="D156" s="327">
        <v>2800</v>
      </c>
      <c r="E156" s="327">
        <v>104534.3</v>
      </c>
      <c r="F156" s="141" t="s">
        <v>40</v>
      </c>
    </row>
    <row r="157" spans="1:6" x14ac:dyDescent="0.2">
      <c r="A157" s="139" t="s">
        <v>509</v>
      </c>
      <c r="B157" s="327">
        <v>304.31150000000002</v>
      </c>
      <c r="C157" s="327">
        <v>204.36</v>
      </c>
      <c r="D157" s="327">
        <v>14</v>
      </c>
      <c r="E157" s="327">
        <v>522.67150000000004</v>
      </c>
      <c r="F157" s="141" t="s">
        <v>40</v>
      </c>
    </row>
    <row r="158" spans="1:6" x14ac:dyDescent="0.2">
      <c r="A158" s="139" t="s">
        <v>510</v>
      </c>
      <c r="B158" s="327">
        <v>12172.460000000001</v>
      </c>
      <c r="C158" s="327">
        <v>8174.4000000000005</v>
      </c>
      <c r="D158" s="327">
        <v>560</v>
      </c>
      <c r="E158" s="327">
        <v>20906.86</v>
      </c>
      <c r="F158" s="141" t="s">
        <v>40</v>
      </c>
    </row>
    <row r="159" spans="1:6" x14ac:dyDescent="0.2">
      <c r="A159" s="139" t="s">
        <v>511</v>
      </c>
      <c r="B159" s="327">
        <v>60.862300000000005</v>
      </c>
      <c r="C159" s="327">
        <v>41</v>
      </c>
      <c r="D159" s="327">
        <v>3</v>
      </c>
      <c r="E159" s="327">
        <v>104.8623</v>
      </c>
      <c r="F159" s="141" t="s">
        <v>40</v>
      </c>
    </row>
    <row r="160" spans="1:6" x14ac:dyDescent="0.2">
      <c r="A160" s="139" t="s">
        <v>512</v>
      </c>
      <c r="B160" s="219">
        <v>0.5</v>
      </c>
      <c r="C160" s="219">
        <v>0.5</v>
      </c>
      <c r="D160" s="219">
        <v>0.5</v>
      </c>
      <c r="E160" s="219">
        <v>0.5</v>
      </c>
      <c r="F160" s="141" t="s">
        <v>269</v>
      </c>
    </row>
    <row r="161" spans="1:6" x14ac:dyDescent="0.2">
      <c r="A161" s="139" t="s">
        <v>370</v>
      </c>
      <c r="B161" s="219">
        <v>180</v>
      </c>
      <c r="C161" s="219">
        <v>180</v>
      </c>
      <c r="D161" s="219">
        <v>180</v>
      </c>
      <c r="E161" s="219">
        <v>180</v>
      </c>
      <c r="F161" s="141" t="s">
        <v>269</v>
      </c>
    </row>
    <row r="162" spans="1:6" x14ac:dyDescent="0.2">
      <c r="A162" s="139" t="s">
        <v>513</v>
      </c>
      <c r="B162" s="219">
        <v>1</v>
      </c>
      <c r="C162" s="219">
        <v>2</v>
      </c>
      <c r="D162" s="219">
        <v>2</v>
      </c>
      <c r="E162" s="219">
        <v>1.6666666666666667</v>
      </c>
      <c r="F162" s="141" t="s">
        <v>269</v>
      </c>
    </row>
    <row r="163" spans="1:6" x14ac:dyDescent="0.2">
      <c r="A163" s="146" t="s">
        <v>514</v>
      </c>
      <c r="B163" s="185">
        <v>0.6</v>
      </c>
      <c r="C163" s="185">
        <v>0.6</v>
      </c>
      <c r="D163" s="185">
        <v>0.75</v>
      </c>
      <c r="E163" s="185">
        <v>0.65</v>
      </c>
      <c r="F163" s="154" t="s">
        <v>269</v>
      </c>
    </row>
    <row r="164" spans="1:6" x14ac:dyDescent="0.2">
      <c r="A164" s="8"/>
      <c r="B164" s="144"/>
      <c r="C164" s="144"/>
      <c r="D164" s="144"/>
      <c r="E164" s="144"/>
      <c r="F164" s="8"/>
    </row>
    <row r="165" spans="1:6" x14ac:dyDescent="0.2">
      <c r="A165" s="8"/>
      <c r="B165" s="144"/>
      <c r="C165" s="144"/>
      <c r="D165" s="144"/>
      <c r="E165" s="144"/>
      <c r="F165" s="8"/>
    </row>
    <row r="166" spans="1:6" x14ac:dyDescent="0.2">
      <c r="A166" s="8"/>
      <c r="B166" s="144"/>
      <c r="C166" s="144"/>
      <c r="D166" s="144"/>
      <c r="E166" s="144"/>
      <c r="F166" s="8"/>
    </row>
    <row r="167" spans="1:6" x14ac:dyDescent="0.2">
      <c r="B167" s="1"/>
      <c r="C167" s="1"/>
    </row>
    <row r="168" spans="1:6" x14ac:dyDescent="0.2">
      <c r="A168" s="2" t="s">
        <v>386</v>
      </c>
      <c r="B168" s="1"/>
      <c r="C168" s="1"/>
    </row>
    <row r="169" spans="1:6" x14ac:dyDescent="0.2">
      <c r="A169" s="210" t="s">
        <v>257</v>
      </c>
      <c r="B169" s="137"/>
      <c r="C169" s="137"/>
      <c r="D169" s="138"/>
      <c r="E169" s="210"/>
      <c r="F169" s="315"/>
    </row>
    <row r="170" spans="1:6" x14ac:dyDescent="0.2">
      <c r="A170" s="149" t="s">
        <v>261</v>
      </c>
      <c r="B170" s="102" t="s">
        <v>226</v>
      </c>
      <c r="C170" s="105" t="s">
        <v>187</v>
      </c>
      <c r="D170" s="140" t="s">
        <v>117</v>
      </c>
      <c r="E170" s="211"/>
      <c r="F170" s="150"/>
    </row>
    <row r="171" spans="1:6" x14ac:dyDescent="0.2">
      <c r="A171" s="139" t="s">
        <v>508</v>
      </c>
      <c r="B171" s="327">
        <v>92400</v>
      </c>
      <c r="C171" s="327"/>
      <c r="D171" s="327">
        <v>73600</v>
      </c>
      <c r="E171" s="327">
        <v>166000</v>
      </c>
      <c r="F171" s="141" t="s">
        <v>40</v>
      </c>
    </row>
    <row r="172" spans="1:6" x14ac:dyDescent="0.2">
      <c r="A172" s="139" t="s">
        <v>509</v>
      </c>
      <c r="B172" s="327">
        <v>462</v>
      </c>
      <c r="C172" s="327"/>
      <c r="D172" s="327">
        <v>368</v>
      </c>
      <c r="E172" s="327">
        <v>830</v>
      </c>
      <c r="F172" s="141" t="s">
        <v>40</v>
      </c>
    </row>
    <row r="173" spans="1:6" x14ac:dyDescent="0.2">
      <c r="A173" s="139" t="s">
        <v>510</v>
      </c>
      <c r="B173" s="327">
        <v>18480</v>
      </c>
      <c r="C173" s="327"/>
      <c r="D173" s="327">
        <v>14720</v>
      </c>
      <c r="E173" s="327">
        <v>33200</v>
      </c>
      <c r="F173" s="141" t="s">
        <v>40</v>
      </c>
    </row>
    <row r="174" spans="1:6" x14ac:dyDescent="0.2">
      <c r="A174" s="139" t="s">
        <v>511</v>
      </c>
      <c r="B174" s="327">
        <v>92.4</v>
      </c>
      <c r="C174" s="327"/>
      <c r="D174" s="327">
        <v>74</v>
      </c>
      <c r="E174" s="327">
        <v>166.4</v>
      </c>
      <c r="F174" s="141" t="s">
        <v>40</v>
      </c>
    </row>
    <row r="175" spans="1:6" x14ac:dyDescent="0.2">
      <c r="A175" s="139" t="s">
        <v>512</v>
      </c>
      <c r="B175" s="219">
        <v>0.5</v>
      </c>
      <c r="C175" s="219"/>
      <c r="D175" s="219">
        <v>0.5</v>
      </c>
      <c r="E175" s="219">
        <v>0.5</v>
      </c>
      <c r="F175" s="141" t="s">
        <v>269</v>
      </c>
    </row>
    <row r="176" spans="1:6" x14ac:dyDescent="0.2">
      <c r="A176" s="139" t="s">
        <v>370</v>
      </c>
      <c r="B176" s="219">
        <v>210</v>
      </c>
      <c r="C176" s="219"/>
      <c r="D176" s="219">
        <v>180</v>
      </c>
      <c r="E176" s="219">
        <v>195</v>
      </c>
      <c r="F176" s="141" t="s">
        <v>269</v>
      </c>
    </row>
    <row r="177" spans="1:6" x14ac:dyDescent="0.2">
      <c r="A177" s="139" t="s">
        <v>513</v>
      </c>
      <c r="B177" s="219">
        <v>1</v>
      </c>
      <c r="C177" s="219"/>
      <c r="D177" s="219">
        <v>1</v>
      </c>
      <c r="E177" s="219">
        <v>1</v>
      </c>
      <c r="F177" s="141" t="s">
        <v>269</v>
      </c>
    </row>
    <row r="178" spans="1:6" x14ac:dyDescent="0.2">
      <c r="A178" s="146" t="s">
        <v>514</v>
      </c>
      <c r="B178" s="185">
        <v>0.6</v>
      </c>
      <c r="C178" s="185"/>
      <c r="D178" s="185">
        <v>0.75</v>
      </c>
      <c r="E178" s="185">
        <v>0.67500000000000004</v>
      </c>
      <c r="F178" s="154" t="s">
        <v>269</v>
      </c>
    </row>
    <row r="179" spans="1:6" x14ac:dyDescent="0.2">
      <c r="B179" s="1"/>
      <c r="C179" s="1"/>
    </row>
    <row r="180" spans="1:6" x14ac:dyDescent="0.2">
      <c r="A180" s="330" t="s">
        <v>515</v>
      </c>
      <c r="B180" s="333">
        <v>2246.7737999999999</v>
      </c>
      <c r="C180" s="333">
        <v>679.36</v>
      </c>
      <c r="D180" s="333">
        <v>1325</v>
      </c>
      <c r="E180" s="331"/>
      <c r="F180" s="332"/>
    </row>
    <row r="181" spans="1:6" x14ac:dyDescent="0.2">
      <c r="B181" s="1"/>
      <c r="C181" s="1"/>
    </row>
    <row r="182" spans="1:6" x14ac:dyDescent="0.2">
      <c r="B182" s="1"/>
      <c r="C182" s="1"/>
    </row>
    <row r="183" spans="1:6" x14ac:dyDescent="0.2">
      <c r="B183" s="1"/>
      <c r="C183" s="1"/>
    </row>
    <row r="184" spans="1:6" x14ac:dyDescent="0.2">
      <c r="B184" s="1"/>
      <c r="C184" s="1"/>
    </row>
    <row r="185" spans="1:6" x14ac:dyDescent="0.2">
      <c r="B185" s="1"/>
      <c r="C185" s="1"/>
    </row>
    <row r="186" spans="1:6" x14ac:dyDescent="0.2">
      <c r="B186" s="1"/>
      <c r="C186" s="1"/>
    </row>
    <row r="187" spans="1:6" x14ac:dyDescent="0.2">
      <c r="B187" s="1"/>
      <c r="C187" s="1"/>
    </row>
    <row r="188" spans="1:6" x14ac:dyDescent="0.2">
      <c r="B188" s="1"/>
      <c r="C188" s="1"/>
    </row>
    <row r="189" spans="1:6" x14ac:dyDescent="0.2">
      <c r="B189" s="1"/>
      <c r="C189" s="1"/>
    </row>
    <row r="190" spans="1:6" x14ac:dyDescent="0.2">
      <c r="B190" s="1"/>
      <c r="C190" s="1"/>
    </row>
    <row r="191" spans="1:6" x14ac:dyDescent="0.2">
      <c r="B191" s="1"/>
      <c r="C191" s="1"/>
    </row>
    <row r="192" spans="1:6" x14ac:dyDescent="0.2">
      <c r="B192" s="1"/>
      <c r="C192" s="1"/>
    </row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</sheetData>
  <phoneticPr fontId="3" type="noConversion"/>
  <pageMargins left="0.25" right="0.25" top="0.75" bottom="0.75" header="0.3" footer="0.3"/>
  <pageSetup paperSize="3" scale="130" fitToWidth="0" fitToHeight="0" orientation="landscape" r:id="rId1"/>
  <headerFooter alignWithMargins="0">
    <oddHeader>&amp;L&amp;"Arial,Bold"10. Income Statement: Underground Parking&amp;CTEAM :2021-1920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DAF0-7710-4CE9-AB03-DCD6300BB17F}">
  <dimension ref="A2:M72"/>
  <sheetViews>
    <sheetView view="pageLayout" topLeftCell="A46" zoomScale="70" zoomScaleNormal="80" zoomScalePageLayoutView="70" workbookViewId="0">
      <selection activeCell="A2" sqref="A2:M72"/>
    </sheetView>
  </sheetViews>
  <sheetFormatPr defaultColWidth="9.140625" defaultRowHeight="12.75" x14ac:dyDescent="0.2"/>
  <cols>
    <col min="1" max="1" width="23" style="1" customWidth="1"/>
    <col min="2" max="3" width="12.7109375" style="3" customWidth="1"/>
    <col min="4" max="13" width="12.7109375" style="1" customWidth="1"/>
    <col min="14" max="14" width="9.140625" style="1"/>
    <col min="15" max="15" width="18.7109375" style="1" customWidth="1"/>
    <col min="16" max="16" width="11.7109375" style="1" customWidth="1"/>
    <col min="17" max="17" width="9.28515625" style="1" bestFit="1" customWidth="1"/>
    <col min="18" max="19" width="9.85546875" style="1" bestFit="1" customWidth="1"/>
    <col min="20" max="16384" width="9.140625" style="1"/>
  </cols>
  <sheetData>
    <row r="2" spans="1:13" x14ac:dyDescent="0.2">
      <c r="A2" s="119"/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86" t="s">
        <v>119</v>
      </c>
      <c r="M2" s="87"/>
    </row>
    <row r="4" spans="1:13" x14ac:dyDescent="0.2">
      <c r="A4" s="363" t="s">
        <v>316</v>
      </c>
      <c r="B4" s="63"/>
      <c r="C4" s="158" t="s">
        <v>2</v>
      </c>
      <c r="D4" s="159" t="s">
        <v>115</v>
      </c>
      <c r="E4" s="160"/>
      <c r="F4" s="161"/>
      <c r="G4" s="162" t="s">
        <v>116</v>
      </c>
      <c r="H4" s="163"/>
      <c r="I4" s="164"/>
      <c r="J4" s="165" t="s">
        <v>117</v>
      </c>
      <c r="K4" s="166"/>
      <c r="L4" s="167"/>
      <c r="M4" s="168"/>
    </row>
    <row r="5" spans="1:13" x14ac:dyDescent="0.2">
      <c r="A5" s="52"/>
      <c r="B5" s="64" t="s">
        <v>58</v>
      </c>
      <c r="C5" s="81" t="s">
        <v>4</v>
      </c>
      <c r="D5" s="64">
        <v>2023</v>
      </c>
      <c r="E5" s="64">
        <f t="shared" ref="E5:M5" si="0">D5+1</f>
        <v>2024</v>
      </c>
      <c r="F5" s="64">
        <f t="shared" si="0"/>
        <v>2025</v>
      </c>
      <c r="G5" s="64">
        <f t="shared" si="0"/>
        <v>2026</v>
      </c>
      <c r="H5" s="64">
        <f t="shared" si="0"/>
        <v>2027</v>
      </c>
      <c r="I5" s="64">
        <f t="shared" si="0"/>
        <v>2028</v>
      </c>
      <c r="J5" s="64">
        <f t="shared" si="0"/>
        <v>2029</v>
      </c>
      <c r="K5" s="64">
        <f t="shared" si="0"/>
        <v>2030</v>
      </c>
      <c r="L5" s="64">
        <f t="shared" si="0"/>
        <v>2031</v>
      </c>
      <c r="M5" s="64">
        <f t="shared" si="0"/>
        <v>2032</v>
      </c>
    </row>
    <row r="6" spans="1:13" x14ac:dyDescent="0.2">
      <c r="A6" s="49" t="s">
        <v>78</v>
      </c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x14ac:dyDescent="0.2">
      <c r="A7" s="26" t="s">
        <v>59</v>
      </c>
      <c r="B7" s="29">
        <v>0.02</v>
      </c>
      <c r="C7" s="319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">
      <c r="A8" s="26" t="s">
        <v>274</v>
      </c>
      <c r="B8" s="319">
        <f>E67</f>
        <v>377303.8</v>
      </c>
      <c r="C8" s="319">
        <f>C28*$B$67</f>
        <v>0</v>
      </c>
      <c r="D8" s="319">
        <f>D28*$B$67</f>
        <v>45053.1</v>
      </c>
      <c r="E8" s="319">
        <f>E28*$B$67</f>
        <v>60070.8</v>
      </c>
      <c r="F8" s="319">
        <f>F28*$B$67</f>
        <v>45053.100000000006</v>
      </c>
      <c r="G8" s="319">
        <f>G28*$C$67</f>
        <v>0</v>
      </c>
      <c r="H8" s="319">
        <f>H28*$C$67</f>
        <v>0</v>
      </c>
      <c r="I8" s="319">
        <f>I28*$C$67</f>
        <v>0</v>
      </c>
      <c r="J8" s="319">
        <f>J28*$D$67</f>
        <v>113563.4</v>
      </c>
      <c r="K8" s="319">
        <f>K28*$D$67</f>
        <v>90850.72</v>
      </c>
      <c r="L8" s="319">
        <f>L28*$D$67</f>
        <v>18170.144</v>
      </c>
      <c r="M8" s="319">
        <f>M28*$D$67</f>
        <v>4542.5360000000001</v>
      </c>
    </row>
    <row r="9" spans="1:13" x14ac:dyDescent="0.2">
      <c r="A9" s="26" t="s">
        <v>275</v>
      </c>
      <c r="B9" s="364">
        <f>E71</f>
        <v>160</v>
      </c>
      <c r="C9" s="335">
        <f>B9</f>
        <v>160</v>
      </c>
      <c r="D9" s="219">
        <f>C9*(1+$B$7)</f>
        <v>163.19999999999999</v>
      </c>
      <c r="E9" s="219">
        <f t="shared" ref="E9:M9" si="1">D9*(1+$B$7)</f>
        <v>166.464</v>
      </c>
      <c r="F9" s="219">
        <f t="shared" si="1"/>
        <v>169.79328000000001</v>
      </c>
      <c r="G9" s="219">
        <f t="shared" si="1"/>
        <v>173.18914560000002</v>
      </c>
      <c r="H9" s="219">
        <f t="shared" si="1"/>
        <v>176.65292851200002</v>
      </c>
      <c r="I9" s="219">
        <f t="shared" si="1"/>
        <v>180.18598708224002</v>
      </c>
      <c r="J9" s="219">
        <f t="shared" si="1"/>
        <v>183.78970682388481</v>
      </c>
      <c r="K9" s="219">
        <f t="shared" si="1"/>
        <v>187.4655009603625</v>
      </c>
      <c r="L9" s="219">
        <f t="shared" si="1"/>
        <v>191.21481097956976</v>
      </c>
      <c r="M9" s="219">
        <f t="shared" si="1"/>
        <v>195.03910719916115</v>
      </c>
    </row>
    <row r="10" spans="1:13" x14ac:dyDescent="0.2">
      <c r="A10" s="26" t="s">
        <v>308</v>
      </c>
      <c r="B10" s="364">
        <f>E69</f>
        <v>35</v>
      </c>
      <c r="C10" s="335">
        <f>B10</f>
        <v>35</v>
      </c>
      <c r="D10" s="219">
        <f>C10*(1+$B$7)</f>
        <v>35.700000000000003</v>
      </c>
      <c r="E10" s="219">
        <f t="shared" ref="E10:M10" si="2">D10*(1+$B$7)</f>
        <v>36.414000000000001</v>
      </c>
      <c r="F10" s="219">
        <f t="shared" si="2"/>
        <v>37.14228</v>
      </c>
      <c r="G10" s="219">
        <f t="shared" si="2"/>
        <v>37.885125600000002</v>
      </c>
      <c r="H10" s="219">
        <f t="shared" si="2"/>
        <v>38.642828112000004</v>
      </c>
      <c r="I10" s="219">
        <f t="shared" si="2"/>
        <v>39.415684674240005</v>
      </c>
      <c r="J10" s="219">
        <f t="shared" si="2"/>
        <v>40.203998367724807</v>
      </c>
      <c r="K10" s="219">
        <f t="shared" si="2"/>
        <v>41.008078335079304</v>
      </c>
      <c r="L10" s="219">
        <f t="shared" si="2"/>
        <v>41.82823990178089</v>
      </c>
      <c r="M10" s="219">
        <f t="shared" si="2"/>
        <v>42.664804699816507</v>
      </c>
    </row>
    <row r="11" spans="1:13" x14ac:dyDescent="0.2">
      <c r="A11" s="26" t="s">
        <v>324</v>
      </c>
      <c r="B11" s="194">
        <f>B57</f>
        <v>2.5</v>
      </c>
      <c r="C11" s="335">
        <f>B11</f>
        <v>2.5</v>
      </c>
      <c r="D11" s="219">
        <f>C11*(1+$B$7)</f>
        <v>2.5499999999999998</v>
      </c>
      <c r="E11" s="219">
        <f t="shared" ref="E11:M12" si="3">D11*(1+$B$7)</f>
        <v>2.601</v>
      </c>
      <c r="F11" s="219">
        <f t="shared" si="3"/>
        <v>2.6530200000000002</v>
      </c>
      <c r="G11" s="219">
        <f t="shared" si="3"/>
        <v>2.7060804000000003</v>
      </c>
      <c r="H11" s="219">
        <f t="shared" si="3"/>
        <v>2.7602020080000003</v>
      </c>
      <c r="I11" s="219">
        <f t="shared" si="3"/>
        <v>2.8154060481600003</v>
      </c>
      <c r="J11" s="219">
        <f t="shared" si="3"/>
        <v>2.8717141691232002</v>
      </c>
      <c r="K11" s="219">
        <f t="shared" si="3"/>
        <v>2.9291484525056641</v>
      </c>
      <c r="L11" s="219">
        <f t="shared" si="3"/>
        <v>2.9877314215557775</v>
      </c>
      <c r="M11" s="219">
        <f t="shared" si="3"/>
        <v>3.047486049986893</v>
      </c>
    </row>
    <row r="12" spans="1:13" x14ac:dyDescent="0.2">
      <c r="A12" s="26" t="s">
        <v>309</v>
      </c>
      <c r="B12" s="217">
        <f>B58</f>
        <v>6</v>
      </c>
      <c r="C12" s="335">
        <f>B12</f>
        <v>6</v>
      </c>
      <c r="D12" s="219">
        <f>C12*(1+$B$7)</f>
        <v>6.12</v>
      </c>
      <c r="E12" s="219">
        <f t="shared" si="3"/>
        <v>6.2423999999999999</v>
      </c>
      <c r="F12" s="219">
        <f t="shared" si="3"/>
        <v>6.367248</v>
      </c>
      <c r="G12" s="219">
        <f t="shared" si="3"/>
        <v>6.4945929600000003</v>
      </c>
      <c r="H12" s="219">
        <f t="shared" si="3"/>
        <v>6.6244848192000001</v>
      </c>
      <c r="I12" s="219">
        <f t="shared" si="3"/>
        <v>6.756974515584</v>
      </c>
      <c r="J12" s="219">
        <f t="shared" si="3"/>
        <v>6.8921140058956798</v>
      </c>
      <c r="K12" s="219">
        <f t="shared" si="3"/>
        <v>7.0299562860135936</v>
      </c>
      <c r="L12" s="219">
        <f t="shared" si="3"/>
        <v>7.1705554117338659</v>
      </c>
      <c r="M12" s="219">
        <f t="shared" si="3"/>
        <v>7.3139665199685435</v>
      </c>
    </row>
    <row r="13" spans="1:13" x14ac:dyDescent="0.2">
      <c r="A13" s="26" t="s">
        <v>87</v>
      </c>
      <c r="B13" s="56" t="s">
        <v>39</v>
      </c>
      <c r="C13" s="56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36" customFormat="1" x14ac:dyDescent="0.2">
      <c r="A14" s="26" t="s">
        <v>70</v>
      </c>
      <c r="B14" s="29">
        <v>0.9</v>
      </c>
      <c r="C14" s="319">
        <f>$B$14*C8</f>
        <v>0</v>
      </c>
      <c r="D14" s="319">
        <f t="shared" ref="D14:M14" si="4">$B$14*D8</f>
        <v>40547.79</v>
      </c>
      <c r="E14" s="319">
        <f t="shared" si="4"/>
        <v>54063.72</v>
      </c>
      <c r="F14" s="319">
        <f t="shared" si="4"/>
        <v>40547.790000000008</v>
      </c>
      <c r="G14" s="319">
        <f t="shared" si="4"/>
        <v>0</v>
      </c>
      <c r="H14" s="319">
        <f t="shared" si="4"/>
        <v>0</v>
      </c>
      <c r="I14" s="319">
        <f t="shared" si="4"/>
        <v>0</v>
      </c>
      <c r="J14" s="319">
        <f t="shared" si="4"/>
        <v>102207.06</v>
      </c>
      <c r="K14" s="319">
        <f t="shared" si="4"/>
        <v>81765.648000000001</v>
      </c>
      <c r="L14" s="319">
        <f t="shared" si="4"/>
        <v>16353.1296</v>
      </c>
      <c r="M14" s="319">
        <f t="shared" si="4"/>
        <v>4088.2824000000001</v>
      </c>
    </row>
    <row r="15" spans="1:13" x14ac:dyDescent="0.2">
      <c r="A15" s="26" t="s">
        <v>291</v>
      </c>
      <c r="B15" s="29"/>
      <c r="C15" s="319">
        <v>0</v>
      </c>
      <c r="D15" s="319">
        <f>D14</f>
        <v>40547.79</v>
      </c>
      <c r="E15" s="319">
        <f>D15+E14</f>
        <v>94611.510000000009</v>
      </c>
      <c r="F15" s="319">
        <f t="shared" ref="F15:M15" si="5">E15+F14</f>
        <v>135159.30000000002</v>
      </c>
      <c r="G15" s="319">
        <f t="shared" si="5"/>
        <v>135159.30000000002</v>
      </c>
      <c r="H15" s="319">
        <f t="shared" si="5"/>
        <v>135159.30000000002</v>
      </c>
      <c r="I15" s="319">
        <f t="shared" si="5"/>
        <v>135159.30000000002</v>
      </c>
      <c r="J15" s="319">
        <f t="shared" si="5"/>
        <v>237366.36000000002</v>
      </c>
      <c r="K15" s="319">
        <f t="shared" si="5"/>
        <v>319132.00800000003</v>
      </c>
      <c r="L15" s="319">
        <f t="shared" si="5"/>
        <v>335485.13760000002</v>
      </c>
      <c r="M15" s="319">
        <f t="shared" si="5"/>
        <v>339573.42000000004</v>
      </c>
    </row>
    <row r="16" spans="1:13" x14ac:dyDescent="0.2">
      <c r="A16" s="26" t="s">
        <v>88</v>
      </c>
      <c r="B16" s="29">
        <f>D72</f>
        <v>0.2</v>
      </c>
      <c r="C16" s="319"/>
      <c r="D16" s="312">
        <f>$B$16-1%</f>
        <v>0.19</v>
      </c>
      <c r="E16" s="312">
        <f>D16-1%</f>
        <v>0.18</v>
      </c>
      <c r="F16" s="312">
        <f t="shared" ref="F16:M16" si="6">E16-1%</f>
        <v>0.16999999999999998</v>
      </c>
      <c r="G16" s="312">
        <f t="shared" si="6"/>
        <v>0.15999999999999998</v>
      </c>
      <c r="H16" s="312">
        <f t="shared" si="6"/>
        <v>0.14999999999999997</v>
      </c>
      <c r="I16" s="312">
        <f t="shared" si="6"/>
        <v>0.13999999999999996</v>
      </c>
      <c r="J16" s="312">
        <f t="shared" si="6"/>
        <v>0.12999999999999995</v>
      </c>
      <c r="K16" s="312">
        <f t="shared" si="6"/>
        <v>0.11999999999999995</v>
      </c>
      <c r="L16" s="312">
        <f t="shared" si="6"/>
        <v>0.10999999999999996</v>
      </c>
      <c r="M16" s="312">
        <f t="shared" si="6"/>
        <v>9.9999999999999964E-2</v>
      </c>
    </row>
    <row r="17" spans="1:13" x14ac:dyDescent="0.2">
      <c r="A17" s="42" t="s">
        <v>91</v>
      </c>
      <c r="B17" s="61"/>
      <c r="C17" s="61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">
      <c r="A18" s="49" t="s">
        <v>5</v>
      </c>
      <c r="B18" s="56"/>
      <c r="C18" s="56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x14ac:dyDescent="0.2">
      <c r="A19" s="26" t="s">
        <v>89</v>
      </c>
      <c r="B19" s="25"/>
      <c r="C19" s="25"/>
      <c r="D19" s="38">
        <f>D15*D9</f>
        <v>6617399.3279999997</v>
      </c>
      <c r="E19" s="38">
        <f t="shared" ref="E19:M19" si="7">E15*E9</f>
        <v>15749410.400640002</v>
      </c>
      <c r="F19" s="38">
        <f t="shared" si="7"/>
        <v>22949140.869504005</v>
      </c>
      <c r="G19" s="38">
        <f t="shared" si="7"/>
        <v>23408123.686894085</v>
      </c>
      <c r="H19" s="38">
        <f t="shared" si="7"/>
        <v>23876286.160631966</v>
      </c>
      <c r="I19" s="38">
        <f t="shared" si="7"/>
        <v>24353811.883844607</v>
      </c>
      <c r="J19" s="38">
        <f t="shared" si="7"/>
        <v>43625493.714252703</v>
      </c>
      <c r="K19" s="38">
        <f t="shared" si="7"/>
        <v>59826241.752206422</v>
      </c>
      <c r="L19" s="38">
        <f t="shared" si="7"/>
        <v>64149727.172638953</v>
      </c>
      <c r="M19" s="38">
        <f t="shared" si="7"/>
        <v>66230096.665365778</v>
      </c>
    </row>
    <row r="20" spans="1:13" x14ac:dyDescent="0.2">
      <c r="A20" s="26" t="s">
        <v>325</v>
      </c>
      <c r="B20" s="25"/>
      <c r="C20" s="25"/>
      <c r="D20" s="38">
        <f>D15*-1*D11</f>
        <v>-103396.8645</v>
      </c>
      <c r="E20" s="38">
        <f t="shared" ref="E20:M20" si="8">E15*-1*E11</f>
        <v>-246084.53751000002</v>
      </c>
      <c r="F20" s="38">
        <f t="shared" si="8"/>
        <v>-358580.32608600007</v>
      </c>
      <c r="G20" s="38">
        <f t="shared" si="8"/>
        <v>-365751.93260772008</v>
      </c>
      <c r="H20" s="38">
        <f t="shared" si="8"/>
        <v>-373066.97125987447</v>
      </c>
      <c r="I20" s="38">
        <f t="shared" si="8"/>
        <v>-380528.31068507198</v>
      </c>
      <c r="J20" s="38">
        <f t="shared" si="8"/>
        <v>-681648.33928519848</v>
      </c>
      <c r="K20" s="38">
        <f t="shared" si="8"/>
        <v>-934785.02737822535</v>
      </c>
      <c r="L20" s="38">
        <f t="shared" si="8"/>
        <v>-1002339.4870724836</v>
      </c>
      <c r="M20" s="38">
        <f t="shared" si="8"/>
        <v>-1034845.2603963403</v>
      </c>
    </row>
    <row r="21" spans="1:13" x14ac:dyDescent="0.2">
      <c r="A21" s="26" t="s">
        <v>311</v>
      </c>
      <c r="B21" s="25"/>
      <c r="C21" s="25"/>
      <c r="D21" s="38">
        <f>D12*D15</f>
        <v>248152.4748</v>
      </c>
      <c r="E21" s="38">
        <f t="shared" ref="E21:M21" si="9">E12*E15</f>
        <v>590602.89002400008</v>
      </c>
      <c r="F21" s="38">
        <f t="shared" si="9"/>
        <v>860592.78260640008</v>
      </c>
      <c r="G21" s="38">
        <f t="shared" si="9"/>
        <v>877804.6382585282</v>
      </c>
      <c r="H21" s="38">
        <f t="shared" si="9"/>
        <v>895360.7310236987</v>
      </c>
      <c r="I21" s="38">
        <f t="shared" si="9"/>
        <v>913267.94564417261</v>
      </c>
      <c r="J21" s="38">
        <f t="shared" si="9"/>
        <v>1635956.0142844762</v>
      </c>
      <c r="K21" s="38">
        <f t="shared" si="9"/>
        <v>2243484.0657077408</v>
      </c>
      <c r="L21" s="38">
        <f t="shared" si="9"/>
        <v>2405614.768973961</v>
      </c>
      <c r="M21" s="38">
        <f t="shared" si="9"/>
        <v>2483628.6249512169</v>
      </c>
    </row>
    <row r="22" spans="1:13" x14ac:dyDescent="0.2">
      <c r="A22" s="26" t="s">
        <v>279</v>
      </c>
      <c r="B22" s="25"/>
      <c r="C22" s="25"/>
      <c r="D22" s="38">
        <f>D16*-1*D15</f>
        <v>-7704.0801000000001</v>
      </c>
      <c r="E22" s="38">
        <f t="shared" ref="E22:M22" si="10">E16*-1*E15</f>
        <v>-17030.071800000002</v>
      </c>
      <c r="F22" s="38">
        <f t="shared" si="10"/>
        <v>-22977.081000000002</v>
      </c>
      <c r="G22" s="38">
        <f t="shared" si="10"/>
        <v>-21625.488000000001</v>
      </c>
      <c r="H22" s="38">
        <f t="shared" si="10"/>
        <v>-20273.894999999997</v>
      </c>
      <c r="I22" s="38">
        <f t="shared" si="10"/>
        <v>-18922.301999999996</v>
      </c>
      <c r="J22" s="38">
        <f t="shared" si="10"/>
        <v>-30857.626799999991</v>
      </c>
      <c r="K22" s="38">
        <f t="shared" si="10"/>
        <v>-38295.840959999987</v>
      </c>
      <c r="L22" s="38">
        <f t="shared" si="10"/>
        <v>-36903.365135999986</v>
      </c>
      <c r="M22" s="38">
        <f t="shared" si="10"/>
        <v>-33957.34199999999</v>
      </c>
    </row>
    <row r="23" spans="1:13" x14ac:dyDescent="0.2">
      <c r="A23" s="26" t="s">
        <v>249</v>
      </c>
      <c r="B23" s="29">
        <f>B52</f>
        <v>0.05</v>
      </c>
      <c r="C23" s="25"/>
      <c r="D23" s="38">
        <f>-1*$B$23*D19</f>
        <v>-330869.96640000003</v>
      </c>
      <c r="E23" s="38">
        <f t="shared" ref="E23:M23" si="11">-1*$B$23*E19</f>
        <v>-787470.52003200015</v>
      </c>
      <c r="F23" s="38">
        <f t="shared" si="11"/>
        <v>-1147457.0434752002</v>
      </c>
      <c r="G23" s="38">
        <f t="shared" si="11"/>
        <v>-1170406.1843447043</v>
      </c>
      <c r="H23" s="38">
        <f t="shared" si="11"/>
        <v>-1193814.3080315983</v>
      </c>
      <c r="I23" s="38">
        <f t="shared" si="11"/>
        <v>-1217690.5941922304</v>
      </c>
      <c r="J23" s="38">
        <f t="shared" si="11"/>
        <v>-2181274.6857126351</v>
      </c>
      <c r="K23" s="38">
        <f t="shared" si="11"/>
        <v>-2991312.0876103211</v>
      </c>
      <c r="L23" s="38">
        <f t="shared" si="11"/>
        <v>-3207486.358631948</v>
      </c>
      <c r="M23" s="38">
        <f t="shared" si="11"/>
        <v>-3311504.833268289</v>
      </c>
    </row>
    <row r="24" spans="1:13" x14ac:dyDescent="0.2">
      <c r="A24" s="73" t="s">
        <v>313</v>
      </c>
      <c r="B24" s="368">
        <f>B61+5</f>
        <v>17</v>
      </c>
      <c r="C24" s="28"/>
      <c r="D24" s="177">
        <f>$B$24*-1*D15</f>
        <v>-689312.43</v>
      </c>
      <c r="E24" s="177">
        <f t="shared" ref="E24:M24" si="12">$B$24*-1*E15</f>
        <v>-1608395.6700000002</v>
      </c>
      <c r="F24" s="177">
        <f t="shared" si="12"/>
        <v>-2297708.1</v>
      </c>
      <c r="G24" s="177">
        <f t="shared" si="12"/>
        <v>-2297708.1</v>
      </c>
      <c r="H24" s="177">
        <f t="shared" si="12"/>
        <v>-2297708.1</v>
      </c>
      <c r="I24" s="177">
        <f t="shared" si="12"/>
        <v>-2297708.1</v>
      </c>
      <c r="J24" s="177">
        <f t="shared" si="12"/>
        <v>-4035228.12</v>
      </c>
      <c r="K24" s="177">
        <f t="shared" si="12"/>
        <v>-5425244.1360000009</v>
      </c>
      <c r="L24" s="177">
        <f t="shared" si="12"/>
        <v>-5703247.3392000003</v>
      </c>
      <c r="M24" s="177">
        <f t="shared" si="12"/>
        <v>-5772748.1400000006</v>
      </c>
    </row>
    <row r="25" spans="1:13" x14ac:dyDescent="0.2">
      <c r="A25" s="73" t="s">
        <v>314</v>
      </c>
      <c r="B25" s="28"/>
      <c r="C25" s="28"/>
      <c r="D25" s="177">
        <f t="shared" ref="D25:M25" si="13">-1*$B$60*$B$59*D19</f>
        <v>-3970439.5967999995</v>
      </c>
      <c r="E25" s="177">
        <f t="shared" si="13"/>
        <v>-9449646.2403840013</v>
      </c>
      <c r="F25" s="177">
        <f t="shared" si="13"/>
        <v>-13769484.521702403</v>
      </c>
      <c r="G25" s="177">
        <f t="shared" si="13"/>
        <v>-14044874.212136451</v>
      </c>
      <c r="H25" s="177">
        <f t="shared" si="13"/>
        <v>-14325771.696379179</v>
      </c>
      <c r="I25" s="177">
        <f t="shared" si="13"/>
        <v>-14612287.130306764</v>
      </c>
      <c r="J25" s="177">
        <f t="shared" si="13"/>
        <v>-26175296.228551622</v>
      </c>
      <c r="K25" s="177">
        <f t="shared" si="13"/>
        <v>-35895745.051323853</v>
      </c>
      <c r="L25" s="177">
        <f t="shared" si="13"/>
        <v>-38489836.303583369</v>
      </c>
      <c r="M25" s="177">
        <f t="shared" si="13"/>
        <v>-39738057.999219462</v>
      </c>
    </row>
    <row r="26" spans="1:13" x14ac:dyDescent="0.2">
      <c r="A26" s="68" t="s">
        <v>21</v>
      </c>
      <c r="B26" s="31"/>
      <c r="C26" s="31"/>
      <c r="D26" s="37">
        <f>SUM(D19:D25)</f>
        <v>1763828.8650000002</v>
      </c>
      <c r="E26" s="37">
        <f t="shared" ref="E26:M26" si="14">SUM(E19:E25)</f>
        <v>4231386.250938002</v>
      </c>
      <c r="F26" s="37">
        <f t="shared" si="14"/>
        <v>6213526.5798468012</v>
      </c>
      <c r="G26" s="37">
        <f t="shared" si="14"/>
        <v>6385562.4080637321</v>
      </c>
      <c r="H26" s="37">
        <f t="shared" si="14"/>
        <v>6561011.9209850114</v>
      </c>
      <c r="I26" s="37">
        <f t="shared" si="14"/>
        <v>6739943.3923047129</v>
      </c>
      <c r="J26" s="37">
        <f t="shared" si="14"/>
        <v>12157144.728187729</v>
      </c>
      <c r="K26" s="37">
        <f t="shared" si="14"/>
        <v>16784343.674641766</v>
      </c>
      <c r="L26" s="37">
        <f t="shared" si="14"/>
        <v>18115529.087989122</v>
      </c>
      <c r="M26" s="37">
        <f t="shared" si="14"/>
        <v>18822611.715432905</v>
      </c>
    </row>
    <row r="27" spans="1:13" x14ac:dyDescent="0.2">
      <c r="A27" s="49" t="s">
        <v>15</v>
      </c>
      <c r="B27" s="56"/>
      <c r="C27" s="56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x14ac:dyDescent="0.2">
      <c r="A28" s="26" t="s">
        <v>75</v>
      </c>
      <c r="B28" s="25"/>
      <c r="C28" s="312"/>
      <c r="D28" s="312">
        <v>0.3</v>
      </c>
      <c r="E28" s="312">
        <v>0.4</v>
      </c>
      <c r="F28" s="312">
        <f>1-(D28+E28)</f>
        <v>0.30000000000000004</v>
      </c>
      <c r="G28" s="312">
        <v>0.4</v>
      </c>
      <c r="H28" s="312">
        <v>0.4</v>
      </c>
      <c r="I28" s="312">
        <f>1-(G28+H28)</f>
        <v>0.19999999999999996</v>
      </c>
      <c r="J28" s="312">
        <v>0.5</v>
      </c>
      <c r="K28" s="312">
        <v>0.4</v>
      </c>
      <c r="L28" s="312">
        <v>0.08</v>
      </c>
      <c r="M28" s="312">
        <v>0.02</v>
      </c>
    </row>
    <row r="29" spans="1:13" x14ac:dyDescent="0.2">
      <c r="A29" s="26" t="s">
        <v>326</v>
      </c>
      <c r="B29" s="279"/>
      <c r="C29" s="312"/>
      <c r="D29" s="312">
        <f>D28</f>
        <v>0.3</v>
      </c>
      <c r="E29" s="312">
        <f>D29+E28</f>
        <v>0.7</v>
      </c>
      <c r="F29" s="312">
        <f>E29+F28</f>
        <v>1</v>
      </c>
      <c r="G29" s="312">
        <f>G28</f>
        <v>0.4</v>
      </c>
      <c r="H29" s="312">
        <f>G29+H28</f>
        <v>0.8</v>
      </c>
      <c r="I29" s="312">
        <f>H29+I28</f>
        <v>1</v>
      </c>
      <c r="J29" s="312">
        <f>J28</f>
        <v>0.5</v>
      </c>
      <c r="K29" s="312">
        <f>J29+K28</f>
        <v>0.9</v>
      </c>
      <c r="L29" s="312">
        <f>K29+L28</f>
        <v>0.98</v>
      </c>
      <c r="M29" s="312">
        <f>L29+M28</f>
        <v>1</v>
      </c>
    </row>
    <row r="30" spans="1:13" x14ac:dyDescent="0.2">
      <c r="A30" s="26" t="s">
        <v>15</v>
      </c>
      <c r="B30" s="25"/>
      <c r="C30" s="25"/>
      <c r="D30" s="38">
        <f>D9*D8*-1</f>
        <v>-7352665.919999999</v>
      </c>
      <c r="E30" s="38">
        <f t="shared" ref="E30:M30" si="15">E9*E8*-1</f>
        <v>-9999625.6512000002</v>
      </c>
      <c r="F30" s="38">
        <f t="shared" si="15"/>
        <v>-7649713.6231680019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-20871783.991923559</v>
      </c>
      <c r="K30" s="38">
        <f t="shared" si="15"/>
        <v>-17031375.737409625</v>
      </c>
      <c r="L30" s="38">
        <f t="shared" si="15"/>
        <v>-3474400.6504315636</v>
      </c>
      <c r="M30" s="38">
        <f t="shared" si="15"/>
        <v>-885972.16586004873</v>
      </c>
    </row>
    <row r="31" spans="1:13" x14ac:dyDescent="0.2">
      <c r="A31" s="26" t="s">
        <v>118</v>
      </c>
      <c r="B31" s="29">
        <v>0.2</v>
      </c>
      <c r="C31" s="25"/>
      <c r="D31" s="177">
        <f>D30*$B$31</f>
        <v>-1470533.1839999999</v>
      </c>
      <c r="E31" s="177">
        <f t="shared" ref="E31:M31" si="16">E30*$B$31</f>
        <v>-1999925.1302400001</v>
      </c>
      <c r="F31" s="177">
        <f t="shared" si="16"/>
        <v>-1529942.7246336006</v>
      </c>
      <c r="G31" s="177">
        <f t="shared" si="16"/>
        <v>0</v>
      </c>
      <c r="H31" s="177">
        <f t="shared" si="16"/>
        <v>0</v>
      </c>
      <c r="I31" s="177">
        <f t="shared" si="16"/>
        <v>0</v>
      </c>
      <c r="J31" s="177">
        <f t="shared" si="16"/>
        <v>-4174356.7983847121</v>
      </c>
      <c r="K31" s="177">
        <f t="shared" si="16"/>
        <v>-3406275.1474819253</v>
      </c>
      <c r="L31" s="177">
        <f t="shared" si="16"/>
        <v>-694880.13008631277</v>
      </c>
      <c r="M31" s="177">
        <f t="shared" si="16"/>
        <v>-177194.43317200977</v>
      </c>
    </row>
    <row r="32" spans="1:13" x14ac:dyDescent="0.2">
      <c r="A32" s="26" t="s">
        <v>52</v>
      </c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">
      <c r="A33" s="68" t="s">
        <v>19</v>
      </c>
      <c r="B33" s="31"/>
      <c r="C33" s="31"/>
      <c r="D33" s="37">
        <f>SUM(D30:D31)</f>
        <v>-8823199.1039999984</v>
      </c>
      <c r="E33" s="37">
        <f t="shared" ref="E33:M33" si="17">SUM(E30:E31)</f>
        <v>-11999550.781440001</v>
      </c>
      <c r="F33" s="37">
        <f t="shared" si="17"/>
        <v>-9179656.3478016034</v>
      </c>
      <c r="G33" s="37">
        <f t="shared" si="17"/>
        <v>0</v>
      </c>
      <c r="H33" s="37">
        <f t="shared" si="17"/>
        <v>0</v>
      </c>
      <c r="I33" s="37">
        <f t="shared" si="17"/>
        <v>0</v>
      </c>
      <c r="J33" s="37">
        <f t="shared" si="17"/>
        <v>-25046140.790308271</v>
      </c>
      <c r="K33" s="37">
        <f t="shared" si="17"/>
        <v>-20437650.884891551</v>
      </c>
      <c r="L33" s="37">
        <f t="shared" si="17"/>
        <v>-4169280.7805178761</v>
      </c>
      <c r="M33" s="37">
        <f t="shared" si="17"/>
        <v>-1063166.5990320584</v>
      </c>
    </row>
    <row r="34" spans="1:13" x14ac:dyDescent="0.2">
      <c r="A34" s="49" t="s">
        <v>20</v>
      </c>
      <c r="B34" s="56"/>
      <c r="C34" s="56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">
      <c r="A35" s="26" t="s">
        <v>21</v>
      </c>
      <c r="B35" s="28"/>
      <c r="C35" s="28"/>
      <c r="D35" s="38">
        <f>D26</f>
        <v>1763828.8650000002</v>
      </c>
      <c r="E35" s="38">
        <f t="shared" ref="E35:M35" si="18">E26</f>
        <v>4231386.250938002</v>
      </c>
      <c r="F35" s="38">
        <f t="shared" si="18"/>
        <v>6213526.5798468012</v>
      </c>
      <c r="G35" s="38">
        <f t="shared" si="18"/>
        <v>6385562.4080637321</v>
      </c>
      <c r="H35" s="38">
        <f t="shared" si="18"/>
        <v>6561011.9209850114</v>
      </c>
      <c r="I35" s="38">
        <f t="shared" si="18"/>
        <v>6739943.3923047129</v>
      </c>
      <c r="J35" s="38">
        <f t="shared" si="18"/>
        <v>12157144.728187729</v>
      </c>
      <c r="K35" s="38">
        <f t="shared" si="18"/>
        <v>16784343.674641766</v>
      </c>
      <c r="L35" s="38">
        <f t="shared" si="18"/>
        <v>18115529.087989122</v>
      </c>
      <c r="M35" s="38">
        <f t="shared" si="18"/>
        <v>18822611.715432905</v>
      </c>
    </row>
    <row r="36" spans="1:13" x14ac:dyDescent="0.2">
      <c r="A36" s="26" t="s">
        <v>76</v>
      </c>
      <c r="B36" s="78">
        <f>E70</f>
        <v>0.1</v>
      </c>
      <c r="C36" s="28"/>
      <c r="D36" s="38"/>
      <c r="E36" s="38"/>
      <c r="F36" s="38"/>
      <c r="G36" s="38"/>
      <c r="H36" s="38"/>
      <c r="I36" s="38"/>
      <c r="J36" s="38"/>
      <c r="K36" s="38"/>
      <c r="L36" s="38"/>
      <c r="M36" s="38">
        <f>M35/B36</f>
        <v>188226117.15432903</v>
      </c>
    </row>
    <row r="37" spans="1:13" x14ac:dyDescent="0.2">
      <c r="A37" s="26" t="s">
        <v>534</v>
      </c>
      <c r="B37" s="78">
        <f>B55</f>
        <v>0.03</v>
      </c>
      <c r="C37" s="28"/>
      <c r="D37" s="38"/>
      <c r="E37" s="38"/>
      <c r="F37" s="38"/>
      <c r="G37" s="38"/>
      <c r="H37" s="38"/>
      <c r="I37" s="38"/>
      <c r="J37" s="38"/>
      <c r="K37" s="38"/>
      <c r="L37" s="38"/>
      <c r="M37" s="38">
        <f>-1*M36*$B$37</f>
        <v>-5646783.5146298707</v>
      </c>
    </row>
    <row r="38" spans="1:13" x14ac:dyDescent="0.2">
      <c r="A38" s="26" t="s">
        <v>253</v>
      </c>
      <c r="B38" s="78">
        <f>B56</f>
        <v>0.03</v>
      </c>
      <c r="C38" s="28"/>
      <c r="D38" s="38">
        <f>$B$38*-1*D35</f>
        <v>-52914.865950000007</v>
      </c>
      <c r="E38" s="38">
        <f t="shared" ref="E38:M38" si="19">$B$38*-1*E35</f>
        <v>-126941.58752814005</v>
      </c>
      <c r="F38" s="38">
        <f t="shared" si="19"/>
        <v>-186405.79739540402</v>
      </c>
      <c r="G38" s="38">
        <f t="shared" si="19"/>
        <v>-191566.87224191194</v>
      </c>
      <c r="H38" s="38">
        <f t="shared" si="19"/>
        <v>-196830.35762955033</v>
      </c>
      <c r="I38" s="38">
        <f t="shared" si="19"/>
        <v>-202198.30176914137</v>
      </c>
      <c r="J38" s="38">
        <f t="shared" si="19"/>
        <v>-364714.34184563183</v>
      </c>
      <c r="K38" s="38">
        <f t="shared" si="19"/>
        <v>-503530.31023925293</v>
      </c>
      <c r="L38" s="38">
        <f t="shared" si="19"/>
        <v>-543465.87263967365</v>
      </c>
      <c r="M38" s="38">
        <f t="shared" si="19"/>
        <v>-564678.35146298714</v>
      </c>
    </row>
    <row r="39" spans="1:13" x14ac:dyDescent="0.2">
      <c r="A39" s="26" t="s">
        <v>19</v>
      </c>
      <c r="B39" s="29"/>
      <c r="C39" s="29"/>
      <c r="D39" s="38">
        <f>D33</f>
        <v>-8823199.1039999984</v>
      </c>
      <c r="E39" s="38">
        <f t="shared" ref="E39:M39" si="20">E33</f>
        <v>-11999550.781440001</v>
      </c>
      <c r="F39" s="38">
        <f t="shared" si="20"/>
        <v>-9179656.3478016034</v>
      </c>
      <c r="G39" s="38">
        <f t="shared" si="20"/>
        <v>0</v>
      </c>
      <c r="H39" s="38">
        <f t="shared" si="20"/>
        <v>0</v>
      </c>
      <c r="I39" s="38">
        <f t="shared" si="20"/>
        <v>0</v>
      </c>
      <c r="J39" s="38">
        <f t="shared" si="20"/>
        <v>-25046140.790308271</v>
      </c>
      <c r="K39" s="38">
        <f t="shared" si="20"/>
        <v>-20437650.884891551</v>
      </c>
      <c r="L39" s="38">
        <f t="shared" si="20"/>
        <v>-4169280.7805178761</v>
      </c>
      <c r="M39" s="38">
        <f t="shared" si="20"/>
        <v>-1063166.5990320584</v>
      </c>
    </row>
    <row r="40" spans="1:13" x14ac:dyDescent="0.2">
      <c r="A40" s="73" t="s">
        <v>24</v>
      </c>
      <c r="B40" s="30"/>
      <c r="C40" s="30"/>
      <c r="D40" s="177">
        <f>SUM(D35:D39)</f>
        <v>-7112285.1049499977</v>
      </c>
      <c r="E40" s="177">
        <f t="shared" ref="E40:M40" si="21">SUM(E35:E39)</f>
        <v>-7895106.1180301392</v>
      </c>
      <c r="F40" s="177">
        <f t="shared" si="21"/>
        <v>-3152535.5653502066</v>
      </c>
      <c r="G40" s="177">
        <f t="shared" si="21"/>
        <v>6193995.5358218197</v>
      </c>
      <c r="H40" s="177">
        <f t="shared" si="21"/>
        <v>6364181.5633554608</v>
      </c>
      <c r="I40" s="177">
        <f t="shared" si="21"/>
        <v>6537745.0905355718</v>
      </c>
      <c r="J40" s="177">
        <f t="shared" si="21"/>
        <v>-13253710.403966174</v>
      </c>
      <c r="K40" s="177">
        <f t="shared" si="21"/>
        <v>-4156837.5204890389</v>
      </c>
      <c r="L40" s="177">
        <f t="shared" si="21"/>
        <v>13402782.434831571</v>
      </c>
      <c r="M40" s="177">
        <f t="shared" si="21"/>
        <v>199774100.40463704</v>
      </c>
    </row>
    <row r="41" spans="1:13" x14ac:dyDescent="0.2">
      <c r="A41" s="370" t="s">
        <v>27</v>
      </c>
      <c r="B41" s="355">
        <f>NPV(B36,D40:M40)</f>
        <v>70478690.994110182</v>
      </c>
      <c r="C41" s="75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x14ac:dyDescent="0.2">
      <c r="A42" s="369" t="s">
        <v>29</v>
      </c>
      <c r="B42" s="354">
        <f>IRR(D40:M40,B36)</f>
        <v>0.38816692889693005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x14ac:dyDescent="0.2">
      <c r="A43" s="71" t="s">
        <v>31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9" spans="1:6" x14ac:dyDescent="0.2">
      <c r="A49" s="210" t="s">
        <v>245</v>
      </c>
      <c r="B49" s="315"/>
      <c r="C49" s="1"/>
    </row>
    <row r="50" spans="1:6" x14ac:dyDescent="0.2">
      <c r="A50" s="139" t="s">
        <v>246</v>
      </c>
      <c r="B50" s="195">
        <v>0.02</v>
      </c>
      <c r="C50" s="269"/>
      <c r="D50" s="269"/>
      <c r="E50" s="269"/>
      <c r="F50" s="269"/>
    </row>
    <row r="51" spans="1:6" x14ac:dyDescent="0.2">
      <c r="A51" s="139" t="s">
        <v>247</v>
      </c>
      <c r="B51" s="195">
        <v>0.1</v>
      </c>
      <c r="C51" s="269"/>
      <c r="D51" s="269"/>
      <c r="E51" s="269"/>
      <c r="F51" s="269"/>
    </row>
    <row r="52" spans="1:6" x14ac:dyDescent="0.2">
      <c r="A52" s="139" t="s">
        <v>249</v>
      </c>
      <c r="B52" s="195">
        <v>0.05</v>
      </c>
      <c r="C52" s="1"/>
    </row>
    <row r="53" spans="1:6" x14ac:dyDescent="0.2">
      <c r="A53" s="139" t="s">
        <v>250</v>
      </c>
      <c r="B53" s="195">
        <v>0.6</v>
      </c>
      <c r="C53" s="1"/>
    </row>
    <row r="54" spans="1:6" x14ac:dyDescent="0.2">
      <c r="A54" s="139" t="s">
        <v>251</v>
      </c>
      <c r="B54" s="197">
        <v>1.7528999999999999</v>
      </c>
      <c r="C54" s="1" t="s">
        <v>255</v>
      </c>
    </row>
    <row r="55" spans="1:6" x14ac:dyDescent="0.2">
      <c r="A55" s="139" t="s">
        <v>85</v>
      </c>
      <c r="B55" s="198">
        <v>0.03</v>
      </c>
      <c r="C55" s="1"/>
    </row>
    <row r="56" spans="1:6" x14ac:dyDescent="0.2">
      <c r="A56" s="199" t="s">
        <v>253</v>
      </c>
      <c r="B56" s="198">
        <v>0.03</v>
      </c>
      <c r="C56" s="1"/>
    </row>
    <row r="57" spans="1:6" x14ac:dyDescent="0.2">
      <c r="A57" s="199" t="s">
        <v>273</v>
      </c>
      <c r="B57" s="326">
        <v>2.5</v>
      </c>
      <c r="C57" s="269"/>
      <c r="D57" s="269"/>
    </row>
    <row r="58" spans="1:6" x14ac:dyDescent="0.2">
      <c r="A58" s="199" t="s">
        <v>294</v>
      </c>
      <c r="B58" s="365">
        <v>6</v>
      </c>
      <c r="C58" s="1"/>
    </row>
    <row r="59" spans="1:6" x14ac:dyDescent="0.2">
      <c r="A59" s="199" t="s">
        <v>295</v>
      </c>
      <c r="B59" s="366">
        <v>10</v>
      </c>
      <c r="C59" s="1"/>
    </row>
    <row r="60" spans="1:6" x14ac:dyDescent="0.2">
      <c r="A60" s="199" t="s">
        <v>296</v>
      </c>
      <c r="B60" s="200">
        <v>0.06</v>
      </c>
      <c r="C60" s="1"/>
    </row>
    <row r="61" spans="1:6" x14ac:dyDescent="0.2">
      <c r="A61" s="201" t="s">
        <v>297</v>
      </c>
      <c r="B61" s="367">
        <v>12</v>
      </c>
      <c r="C61" s="269"/>
    </row>
    <row r="62" spans="1:6" x14ac:dyDescent="0.2">
      <c r="A62" s="269"/>
      <c r="B62" s="269"/>
      <c r="C62" s="269"/>
      <c r="D62" s="269"/>
      <c r="E62" s="269"/>
    </row>
    <row r="63" spans="1:6" x14ac:dyDescent="0.2">
      <c r="A63" s="269"/>
      <c r="B63" s="269"/>
      <c r="C63" s="269"/>
      <c r="D63" s="269"/>
      <c r="E63" s="269"/>
      <c r="F63" s="269"/>
    </row>
    <row r="64" spans="1:6" x14ac:dyDescent="0.2">
      <c r="A64" s="2" t="s">
        <v>283</v>
      </c>
      <c r="B64" s="357"/>
      <c r="C64" s="269"/>
      <c r="D64" s="269"/>
      <c r="E64" s="269"/>
      <c r="F64" s="269"/>
    </row>
    <row r="65" spans="1:6" x14ac:dyDescent="0.2">
      <c r="A65" s="210" t="s">
        <v>257</v>
      </c>
      <c r="B65" s="137"/>
      <c r="C65" s="137"/>
      <c r="D65" s="138"/>
      <c r="E65" s="210"/>
      <c r="F65" s="315"/>
    </row>
    <row r="66" spans="1:6" x14ac:dyDescent="0.2">
      <c r="A66" s="149"/>
      <c r="B66" s="102" t="s">
        <v>226</v>
      </c>
      <c r="C66" s="105" t="s">
        <v>187</v>
      </c>
      <c r="D66" s="140" t="s">
        <v>117</v>
      </c>
      <c r="E66" s="211"/>
      <c r="F66" s="150"/>
    </row>
    <row r="67" spans="1:6" x14ac:dyDescent="0.2">
      <c r="A67" s="139" t="s">
        <v>265</v>
      </c>
      <c r="B67" s="358">
        <v>150177</v>
      </c>
      <c r="C67" s="358"/>
      <c r="D67" s="358">
        <v>227126.8</v>
      </c>
      <c r="E67" s="358">
        <v>377303.8</v>
      </c>
      <c r="F67" s="141" t="s">
        <v>40</v>
      </c>
    </row>
    <row r="68" spans="1:6" x14ac:dyDescent="0.2">
      <c r="A68" s="139" t="s">
        <v>270</v>
      </c>
      <c r="B68" s="207">
        <v>0.95</v>
      </c>
      <c r="C68" s="207"/>
      <c r="D68" s="207">
        <v>0.95</v>
      </c>
      <c r="E68" s="207">
        <v>0.95</v>
      </c>
      <c r="F68" s="141" t="s">
        <v>269</v>
      </c>
    </row>
    <row r="69" spans="1:6" x14ac:dyDescent="0.2">
      <c r="A69" s="199" t="s">
        <v>308</v>
      </c>
      <c r="B69" s="359">
        <v>35</v>
      </c>
      <c r="C69" s="359"/>
      <c r="D69" s="359">
        <v>35</v>
      </c>
      <c r="E69" s="208">
        <v>35</v>
      </c>
      <c r="F69" s="141" t="s">
        <v>269</v>
      </c>
    </row>
    <row r="70" spans="1:6" x14ac:dyDescent="0.2">
      <c r="A70" s="139" t="s">
        <v>242</v>
      </c>
      <c r="B70" s="360">
        <v>0.1</v>
      </c>
      <c r="C70" s="360"/>
      <c r="D70" s="360">
        <v>0.1</v>
      </c>
      <c r="E70" s="207">
        <v>0.1</v>
      </c>
      <c r="F70" s="141" t="s">
        <v>269</v>
      </c>
    </row>
    <row r="71" spans="1:6" x14ac:dyDescent="0.2">
      <c r="A71" s="199" t="s">
        <v>272</v>
      </c>
      <c r="B71" s="208">
        <v>160</v>
      </c>
      <c r="C71" s="208"/>
      <c r="D71" s="208">
        <v>160</v>
      </c>
      <c r="E71" s="208">
        <v>160</v>
      </c>
      <c r="F71" s="141" t="s">
        <v>269</v>
      </c>
    </row>
    <row r="72" spans="1:6" x14ac:dyDescent="0.2">
      <c r="A72" s="146" t="s">
        <v>279</v>
      </c>
      <c r="B72" s="361">
        <v>0.2</v>
      </c>
      <c r="C72" s="361"/>
      <c r="D72" s="361">
        <v>0.2</v>
      </c>
      <c r="E72" s="362">
        <v>0.2</v>
      </c>
      <c r="F72" s="154" t="s">
        <v>269</v>
      </c>
    </row>
  </sheetData>
  <pageMargins left="0.25" right="0.25" top="0.75" bottom="0.75" header="0.3" footer="0.3"/>
  <pageSetup paperSize="3" scale="115" orientation="landscape" r:id="rId1"/>
  <headerFooter alignWithMargins="0">
    <oddHeader>&amp;L&amp;"Arial,Bold"10. Income sheet - Institutional (Market Rate)
&amp;CTEAM :2021-1920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4F9D-DB15-460A-91A7-CC9A0F17DFFD}">
  <dimension ref="B2:C5"/>
  <sheetViews>
    <sheetView workbookViewId="0">
      <selection activeCell="B9" sqref="B9"/>
    </sheetView>
  </sheetViews>
  <sheetFormatPr defaultRowHeight="12.75" x14ac:dyDescent="0.2"/>
  <sheetData>
    <row r="2" spans="2:3" ht="15.75" x14ac:dyDescent="0.25">
      <c r="B2" s="371" t="s">
        <v>535</v>
      </c>
      <c r="C2" s="371"/>
    </row>
    <row r="3" spans="2:3" ht="15.75" x14ac:dyDescent="0.25">
      <c r="B3" s="371" t="s">
        <v>536</v>
      </c>
      <c r="C3" s="371"/>
    </row>
    <row r="4" spans="2:3" ht="15.75" x14ac:dyDescent="0.25">
      <c r="B4" s="371" t="s">
        <v>598</v>
      </c>
      <c r="C4" s="371"/>
    </row>
    <row r="5" spans="2:3" ht="15.75" x14ac:dyDescent="0.25">
      <c r="B5" s="371" t="s">
        <v>603</v>
      </c>
      <c r="C5" s="37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3EAB-000D-425A-8C7B-30AB82CECBFC}">
  <dimension ref="A1:Z1004"/>
  <sheetViews>
    <sheetView view="pageLayout" topLeftCell="B121" zoomScaleNormal="70" workbookViewId="0">
      <selection activeCell="E12" sqref="E12"/>
    </sheetView>
  </sheetViews>
  <sheetFormatPr defaultColWidth="8.85546875" defaultRowHeight="12.75" x14ac:dyDescent="0.2"/>
  <cols>
    <col min="1" max="1" width="18.42578125" style="269" customWidth="1"/>
    <col min="2" max="8" width="20.7109375" style="269" customWidth="1"/>
    <col min="9" max="9" width="15.5703125" style="269" customWidth="1"/>
    <col min="10" max="10" width="9.85546875" style="269" bestFit="1" customWidth="1"/>
    <col min="11" max="16384" width="8.85546875" style="269"/>
  </cols>
  <sheetData>
    <row r="1" spans="1:26" x14ac:dyDescent="0.2">
      <c r="A1" s="119" t="s">
        <v>622</v>
      </c>
      <c r="B1" s="119"/>
      <c r="C1" s="120"/>
      <c r="D1" s="121"/>
      <c r="E1" s="121"/>
      <c r="F1" s="121"/>
      <c r="G1" s="121"/>
      <c r="H1" s="86" t="s">
        <v>119</v>
      </c>
      <c r="I1" s="121"/>
      <c r="J1" s="304"/>
      <c r="K1" s="304"/>
      <c r="L1" s="304"/>
      <c r="M1" s="304"/>
      <c r="N1" s="304"/>
    </row>
    <row r="2" spans="1:26" x14ac:dyDescent="0.2">
      <c r="A2" s="495" t="s">
        <v>503</v>
      </c>
      <c r="B2" s="496"/>
      <c r="C2" s="496"/>
      <c r="D2" s="496"/>
      <c r="E2" s="496"/>
      <c r="F2" s="496"/>
      <c r="G2" s="496"/>
      <c r="H2" s="496"/>
      <c r="I2" s="497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25.5" x14ac:dyDescent="0.2">
      <c r="A3" s="256" t="s">
        <v>121</v>
      </c>
      <c r="B3" s="256" t="s">
        <v>122</v>
      </c>
      <c r="C3" s="256" t="s">
        <v>123</v>
      </c>
      <c r="D3" s="256" t="s">
        <v>124</v>
      </c>
      <c r="E3" s="256" t="s">
        <v>125</v>
      </c>
      <c r="F3" s="256" t="s">
        <v>126</v>
      </c>
      <c r="G3" s="256" t="s">
        <v>127</v>
      </c>
      <c r="H3" s="256" t="s">
        <v>128</v>
      </c>
      <c r="I3" s="256" t="s">
        <v>129</v>
      </c>
      <c r="J3" s="256" t="s">
        <v>130</v>
      </c>
      <c r="K3" s="256" t="s">
        <v>145</v>
      </c>
      <c r="L3" s="256" t="s">
        <v>155</v>
      </c>
      <c r="M3" s="256" t="s">
        <v>147</v>
      </c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</row>
    <row r="4" spans="1:26" x14ac:dyDescent="0.2">
      <c r="A4" s="257" t="s">
        <v>131</v>
      </c>
      <c r="B4" s="257" t="s">
        <v>132</v>
      </c>
      <c r="C4" s="258">
        <v>54625</v>
      </c>
      <c r="D4" s="258">
        <v>32416.799999999999</v>
      </c>
      <c r="E4" s="259">
        <f>D4/C4</f>
        <v>0.59344256292906172</v>
      </c>
      <c r="F4" s="260">
        <v>0.05</v>
      </c>
      <c r="G4" s="258">
        <f>F4*C4</f>
        <v>2731.25</v>
      </c>
      <c r="H4" s="258">
        <f>C4-D4-G4</f>
        <v>19476.95</v>
      </c>
      <c r="I4" s="261">
        <f>H4/C4</f>
        <v>0.35655743707093823</v>
      </c>
      <c r="J4" s="262">
        <v>2</v>
      </c>
      <c r="K4" s="258">
        <v>398865</v>
      </c>
      <c r="L4" s="258">
        <v>2</v>
      </c>
      <c r="M4" s="258" t="s">
        <v>148</v>
      </c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</row>
    <row r="5" spans="1:26" x14ac:dyDescent="0.2">
      <c r="A5" s="263">
        <v>2</v>
      </c>
      <c r="B5" s="257" t="s">
        <v>133</v>
      </c>
      <c r="C5" s="258">
        <v>100303</v>
      </c>
      <c r="D5" s="258">
        <v>48926</v>
      </c>
      <c r="E5" s="259">
        <f t="shared" ref="E5:E10" si="0">D5/C5</f>
        <v>0.48778202047795183</v>
      </c>
      <c r="F5" s="260">
        <v>0.05</v>
      </c>
      <c r="G5" s="258">
        <f t="shared" ref="G5:G10" si="1">F5*C5</f>
        <v>5015.1500000000005</v>
      </c>
      <c r="H5" s="258">
        <f t="shared" ref="H5:H10" si="2">C5-D5-G5</f>
        <v>46361.85</v>
      </c>
      <c r="I5" s="261">
        <f t="shared" ref="I5:I10" si="3">H5/C5</f>
        <v>0.46221797952204818</v>
      </c>
      <c r="J5" s="262">
        <v>2</v>
      </c>
      <c r="K5" s="258">
        <v>590125</v>
      </c>
      <c r="L5" s="258">
        <v>2</v>
      </c>
      <c r="M5" s="258" t="s">
        <v>149</v>
      </c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</row>
    <row r="6" spans="1:26" x14ac:dyDescent="0.2">
      <c r="A6" s="257" t="s">
        <v>134</v>
      </c>
      <c r="B6" s="257" t="s">
        <v>135</v>
      </c>
      <c r="C6" s="258">
        <v>103854</v>
      </c>
      <c r="D6" s="258">
        <v>27957</v>
      </c>
      <c r="E6" s="259">
        <f t="shared" si="0"/>
        <v>0.26919521636143046</v>
      </c>
      <c r="F6" s="260">
        <v>0.05</v>
      </c>
      <c r="G6" s="258">
        <f t="shared" si="1"/>
        <v>5192.7000000000007</v>
      </c>
      <c r="H6" s="258">
        <f t="shared" si="2"/>
        <v>70704.3</v>
      </c>
      <c r="I6" s="261">
        <f t="shared" si="3"/>
        <v>0.68080478363856956</v>
      </c>
      <c r="J6" s="262" t="s">
        <v>143</v>
      </c>
      <c r="K6" s="258">
        <v>1385299</v>
      </c>
      <c r="L6" s="258">
        <v>2</v>
      </c>
      <c r="M6" s="258" t="s">
        <v>150</v>
      </c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26" x14ac:dyDescent="0.2">
      <c r="A7" s="257" t="s">
        <v>136</v>
      </c>
      <c r="B7" s="257" t="s">
        <v>137</v>
      </c>
      <c r="C7" s="258">
        <v>90622</v>
      </c>
      <c r="D7" s="258">
        <v>28579</v>
      </c>
      <c r="E7" s="259">
        <f t="shared" si="0"/>
        <v>0.31536492242501823</v>
      </c>
      <c r="F7" s="260">
        <v>0.05</v>
      </c>
      <c r="G7" s="258">
        <f t="shared" si="1"/>
        <v>4531.1000000000004</v>
      </c>
      <c r="H7" s="258">
        <f t="shared" si="2"/>
        <v>57511.9</v>
      </c>
      <c r="I7" s="261">
        <f t="shared" si="3"/>
        <v>0.63463507757498183</v>
      </c>
      <c r="J7" s="262" t="s">
        <v>143</v>
      </c>
      <c r="K7" s="258">
        <v>537941</v>
      </c>
      <c r="L7" s="258">
        <v>2</v>
      </c>
      <c r="M7" s="258" t="s">
        <v>151</v>
      </c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</row>
    <row r="8" spans="1:26" x14ac:dyDescent="0.2">
      <c r="A8" s="263">
        <v>25</v>
      </c>
      <c r="B8" s="257" t="s">
        <v>138</v>
      </c>
      <c r="C8" s="258">
        <v>86994</v>
      </c>
      <c r="D8" s="258">
        <v>31114</v>
      </c>
      <c r="E8" s="259">
        <f t="shared" si="0"/>
        <v>0.35765684989769408</v>
      </c>
      <c r="F8" s="260">
        <v>0.05</v>
      </c>
      <c r="G8" s="258">
        <f t="shared" si="1"/>
        <v>4349.7</v>
      </c>
      <c r="H8" s="258">
        <f t="shared" si="2"/>
        <v>51530.3</v>
      </c>
      <c r="I8" s="261">
        <f t="shared" si="3"/>
        <v>0.59234315010230598</v>
      </c>
      <c r="J8" s="262" t="s">
        <v>144</v>
      </c>
      <c r="K8" s="258">
        <v>1605683</v>
      </c>
      <c r="L8" s="258">
        <v>2</v>
      </c>
      <c r="M8" s="258" t="s">
        <v>152</v>
      </c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</row>
    <row r="9" spans="1:26" x14ac:dyDescent="0.2">
      <c r="A9" s="257" t="s">
        <v>139</v>
      </c>
      <c r="B9" s="257" t="s">
        <v>140</v>
      </c>
      <c r="C9" s="258">
        <v>95362</v>
      </c>
      <c r="D9" s="258">
        <v>55801</v>
      </c>
      <c r="E9" s="259">
        <f t="shared" si="0"/>
        <v>0.58514922086365639</v>
      </c>
      <c r="F9" s="260">
        <v>0.05</v>
      </c>
      <c r="G9" s="258">
        <f t="shared" si="1"/>
        <v>4768.1000000000004</v>
      </c>
      <c r="H9" s="258">
        <f t="shared" si="2"/>
        <v>34792.9</v>
      </c>
      <c r="I9" s="261">
        <f t="shared" si="3"/>
        <v>0.36485077913634362</v>
      </c>
      <c r="J9" s="262" t="s">
        <v>144</v>
      </c>
      <c r="K9" s="258">
        <v>491746</v>
      </c>
      <c r="L9" s="258">
        <v>1</v>
      </c>
      <c r="M9" s="258" t="s">
        <v>153</v>
      </c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</row>
    <row r="10" spans="1:26" x14ac:dyDescent="0.2">
      <c r="A10" s="257" t="s">
        <v>141</v>
      </c>
      <c r="B10" s="257" t="s">
        <v>142</v>
      </c>
      <c r="C10" s="258">
        <v>98180</v>
      </c>
      <c r="D10" s="258">
        <v>56780</v>
      </c>
      <c r="E10" s="259">
        <f t="shared" si="0"/>
        <v>0.5783255245467509</v>
      </c>
      <c r="F10" s="260">
        <v>0.05</v>
      </c>
      <c r="G10" s="258">
        <f t="shared" si="1"/>
        <v>4909</v>
      </c>
      <c r="H10" s="258">
        <f t="shared" si="2"/>
        <v>36491</v>
      </c>
      <c r="I10" s="261">
        <f t="shared" si="3"/>
        <v>0.37167447545324911</v>
      </c>
      <c r="J10" s="262" t="s">
        <v>144</v>
      </c>
      <c r="K10" s="258">
        <v>308169</v>
      </c>
      <c r="L10" s="258">
        <v>1</v>
      </c>
      <c r="M10" s="258" t="s">
        <v>154</v>
      </c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</row>
    <row r="11" spans="1:26" ht="13.5" thickBot="1" x14ac:dyDescent="0.25">
      <c r="A11" s="264" t="s">
        <v>146</v>
      </c>
      <c r="B11" s="265"/>
      <c r="C11" s="266">
        <f>SUM(C4:C10)</f>
        <v>629940</v>
      </c>
      <c r="D11" s="266">
        <f>SUM(D4:D10)</f>
        <v>281573.8</v>
      </c>
      <c r="E11" s="265"/>
      <c r="F11" s="265"/>
      <c r="G11" s="266">
        <f>SUM(G4:G10)</f>
        <v>31497.000000000007</v>
      </c>
      <c r="H11" s="266">
        <f>SUM(H4:H10)</f>
        <v>316869.2</v>
      </c>
      <c r="I11" s="265"/>
      <c r="J11" s="265"/>
      <c r="K11" s="266">
        <f>SUM(K4:K10)</f>
        <v>5317828</v>
      </c>
      <c r="L11" s="266"/>
      <c r="M11" s="266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</row>
    <row r="12" spans="1:26" ht="13.5" thickTop="1" x14ac:dyDescent="0.2">
      <c r="A12" s="304"/>
      <c r="B12" s="304"/>
      <c r="C12" s="304"/>
      <c r="D12" s="304"/>
      <c r="E12" s="304"/>
      <c r="F12" s="304"/>
      <c r="G12" s="304"/>
      <c r="H12" s="304"/>
      <c r="I12" s="306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</row>
    <row r="13" spans="1:26" x14ac:dyDescent="0.2">
      <c r="A13" s="304"/>
      <c r="B13" s="849" t="s">
        <v>625</v>
      </c>
      <c r="C13" s="850"/>
      <c r="D13" s="850"/>
      <c r="E13" s="850"/>
      <c r="F13" s="850"/>
      <c r="G13" s="851"/>
      <c r="H13" s="304"/>
      <c r="I13" s="306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</row>
    <row r="14" spans="1:26" x14ac:dyDescent="0.2">
      <c r="A14" s="304"/>
      <c r="B14" s="469" t="s">
        <v>437</v>
      </c>
      <c r="C14" s="470" t="s">
        <v>438</v>
      </c>
      <c r="D14" s="470" t="s">
        <v>439</v>
      </c>
      <c r="E14" s="470" t="s">
        <v>298</v>
      </c>
      <c r="F14" s="470" t="s">
        <v>440</v>
      </c>
      <c r="G14" s="482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</row>
    <row r="15" spans="1:26" x14ac:dyDescent="0.2">
      <c r="A15" s="304"/>
      <c r="B15" s="469" t="s">
        <v>441</v>
      </c>
      <c r="C15" s="492">
        <v>10000</v>
      </c>
      <c r="D15" s="493">
        <v>1</v>
      </c>
      <c r="E15" s="477"/>
      <c r="F15" s="483">
        <v>13</v>
      </c>
      <c r="G15" s="472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</row>
    <row r="16" spans="1:26" x14ac:dyDescent="0.2">
      <c r="A16" s="304"/>
      <c r="B16" s="473" t="s">
        <v>442</v>
      </c>
      <c r="C16" s="490">
        <v>5000</v>
      </c>
      <c r="D16" s="483">
        <v>1</v>
      </c>
      <c r="E16" s="308">
        <f>D16*C16</f>
        <v>5000</v>
      </c>
      <c r="F16" s="477"/>
      <c r="G16" s="472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</row>
    <row r="17" spans="1:26" x14ac:dyDescent="0.2">
      <c r="A17" s="304"/>
      <c r="B17" s="199" t="s">
        <v>443</v>
      </c>
      <c r="C17" s="490">
        <v>5000</v>
      </c>
      <c r="D17" s="483">
        <v>1</v>
      </c>
      <c r="E17" s="308">
        <f t="shared" ref="E17:E21" si="4">D17*C17</f>
        <v>5000</v>
      </c>
      <c r="F17" s="477"/>
      <c r="G17" s="472"/>
      <c r="H17" s="309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</row>
    <row r="18" spans="1:26" x14ac:dyDescent="0.2">
      <c r="A18" s="304"/>
      <c r="B18" s="473" t="s">
        <v>444</v>
      </c>
      <c r="C18" s="490">
        <v>10000</v>
      </c>
      <c r="D18" s="483">
        <v>5</v>
      </c>
      <c r="E18" s="308">
        <f t="shared" si="4"/>
        <v>50000</v>
      </c>
      <c r="F18" s="483">
        <v>10</v>
      </c>
      <c r="G18" s="472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</row>
    <row r="19" spans="1:26" x14ac:dyDescent="0.2">
      <c r="A19" s="304"/>
      <c r="B19" s="473" t="s">
        <v>445</v>
      </c>
      <c r="C19" s="476">
        <v>8128</v>
      </c>
      <c r="D19" s="483">
        <v>4</v>
      </c>
      <c r="E19" s="308">
        <f t="shared" si="4"/>
        <v>32512</v>
      </c>
      <c r="F19" s="483">
        <v>10</v>
      </c>
      <c r="G19" s="472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</row>
    <row r="20" spans="1:26" x14ac:dyDescent="0.2">
      <c r="A20" s="304"/>
      <c r="B20" s="473" t="s">
        <v>446</v>
      </c>
      <c r="C20" s="476">
        <v>6450</v>
      </c>
      <c r="D20" s="483">
        <v>13</v>
      </c>
      <c r="E20" s="308">
        <f t="shared" si="4"/>
        <v>83850</v>
      </c>
      <c r="F20" s="483">
        <v>10</v>
      </c>
      <c r="G20" s="472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</row>
    <row r="21" spans="1:26" x14ac:dyDescent="0.2">
      <c r="A21" s="304"/>
      <c r="B21" s="478" t="s">
        <v>447</v>
      </c>
      <c r="C21" s="479">
        <v>10000</v>
      </c>
      <c r="D21" s="487">
        <v>5</v>
      </c>
      <c r="E21" s="494">
        <f t="shared" si="4"/>
        <v>50000</v>
      </c>
      <c r="F21" s="487">
        <v>10</v>
      </c>
      <c r="G21" s="481"/>
      <c r="H21" s="304"/>
      <c r="I21" s="310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</row>
    <row r="22" spans="1:26" x14ac:dyDescent="0.2">
      <c r="A22" s="304"/>
      <c r="B22" s="304"/>
      <c r="C22" s="304"/>
      <c r="D22" s="304"/>
      <c r="E22" s="304"/>
      <c r="F22" s="304"/>
      <c r="G22" s="304"/>
      <c r="H22" s="304"/>
      <c r="I22" s="310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</row>
    <row r="23" spans="1:26" x14ac:dyDescent="0.2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</row>
    <row r="24" spans="1:26" ht="14.45" customHeight="1" x14ac:dyDescent="0.2">
      <c r="A24" s="304"/>
      <c r="B24" s="849" t="s">
        <v>626</v>
      </c>
      <c r="C24" s="850"/>
      <c r="D24" s="850"/>
      <c r="E24" s="850"/>
      <c r="F24" s="850"/>
      <c r="G24" s="851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26" x14ac:dyDescent="0.2">
      <c r="A25" s="304"/>
      <c r="B25" s="469" t="s">
        <v>437</v>
      </c>
      <c r="C25" s="470" t="s">
        <v>438</v>
      </c>
      <c r="D25" s="470" t="s">
        <v>439</v>
      </c>
      <c r="E25" s="470" t="s">
        <v>298</v>
      </c>
      <c r="F25" s="470" t="s">
        <v>440</v>
      </c>
      <c r="G25" s="482" t="s">
        <v>448</v>
      </c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</row>
    <row r="26" spans="1:26" x14ac:dyDescent="0.2">
      <c r="A26" s="304"/>
      <c r="B26" s="473" t="s">
        <v>449</v>
      </c>
      <c r="C26" s="490">
        <v>27416.799999999999</v>
      </c>
      <c r="D26" s="483">
        <v>1</v>
      </c>
      <c r="E26" s="484">
        <f>D26*C26</f>
        <v>27416.799999999999</v>
      </c>
      <c r="F26" s="483">
        <v>19.68</v>
      </c>
      <c r="G26" s="485" t="s">
        <v>450</v>
      </c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</row>
    <row r="27" spans="1:26" x14ac:dyDescent="0.2">
      <c r="A27" s="304"/>
      <c r="B27" s="473" t="s">
        <v>451</v>
      </c>
      <c r="C27" s="490">
        <v>11759</v>
      </c>
      <c r="D27" s="483">
        <v>1</v>
      </c>
      <c r="E27" s="484">
        <f t="shared" ref="E27:E30" si="5">D27*C27</f>
        <v>11759</v>
      </c>
      <c r="F27" s="483">
        <v>16.399999999999999</v>
      </c>
      <c r="G27" s="472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</row>
    <row r="28" spans="1:26" x14ac:dyDescent="0.2">
      <c r="A28" s="304"/>
      <c r="B28" s="473" t="s">
        <v>452</v>
      </c>
      <c r="C28" s="490">
        <v>7861</v>
      </c>
      <c r="D28" s="483">
        <v>1</v>
      </c>
      <c r="E28" s="484">
        <f t="shared" si="5"/>
        <v>7861</v>
      </c>
      <c r="F28" s="483">
        <v>13</v>
      </c>
      <c r="G28" s="472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</row>
    <row r="29" spans="1:26" x14ac:dyDescent="0.2">
      <c r="A29" s="304"/>
      <c r="B29" s="473" t="s">
        <v>453</v>
      </c>
      <c r="C29" s="490">
        <v>7861</v>
      </c>
      <c r="D29" s="483">
        <v>1</v>
      </c>
      <c r="E29" s="484">
        <f t="shared" si="5"/>
        <v>7861</v>
      </c>
      <c r="F29" s="483">
        <v>13</v>
      </c>
      <c r="G29" s="472"/>
      <c r="H29" s="309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</row>
    <row r="30" spans="1:26" x14ac:dyDescent="0.2">
      <c r="A30" s="304"/>
      <c r="B30" s="478" t="s">
        <v>447</v>
      </c>
      <c r="C30" s="491">
        <v>11759</v>
      </c>
      <c r="D30" s="487">
        <v>4</v>
      </c>
      <c r="E30" s="486">
        <f t="shared" si="5"/>
        <v>47036</v>
      </c>
      <c r="F30" s="487">
        <v>10</v>
      </c>
      <c r="G30" s="481"/>
      <c r="H30" s="311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</row>
    <row r="31" spans="1:26" x14ac:dyDescent="0.2">
      <c r="A31" s="304"/>
      <c r="B31" s="304"/>
      <c r="C31" s="304"/>
      <c r="D31" s="304"/>
      <c r="E31" s="311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</row>
    <row r="32" spans="1:26" ht="14.45" customHeight="1" x14ac:dyDescent="0.2">
      <c r="A32" s="304"/>
      <c r="B32" s="849" t="s">
        <v>454</v>
      </c>
      <c r="C32" s="850"/>
      <c r="D32" s="850"/>
      <c r="E32" s="850"/>
      <c r="F32" s="850"/>
      <c r="G32" s="851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</row>
    <row r="33" spans="1:26" x14ac:dyDescent="0.2">
      <c r="A33" s="304"/>
      <c r="B33" s="469" t="s">
        <v>437</v>
      </c>
      <c r="C33" s="470" t="s">
        <v>438</v>
      </c>
      <c r="D33" s="470" t="s">
        <v>439</v>
      </c>
      <c r="E33" s="470" t="s">
        <v>298</v>
      </c>
      <c r="F33" s="470" t="s">
        <v>440</v>
      </c>
      <c r="G33" s="472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</row>
    <row r="34" spans="1:26" x14ac:dyDescent="0.2">
      <c r="A34" s="304"/>
      <c r="B34" s="473" t="s">
        <v>449</v>
      </c>
      <c r="C34" s="476">
        <v>48926</v>
      </c>
      <c r="D34" s="483">
        <v>1</v>
      </c>
      <c r="E34" s="484">
        <f>D34*C34</f>
        <v>48926</v>
      </c>
      <c r="F34" s="483">
        <v>16.399999999999999</v>
      </c>
      <c r="G34" s="472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</row>
    <row r="35" spans="1:26" x14ac:dyDescent="0.2">
      <c r="A35" s="304"/>
      <c r="B35" s="473" t="s">
        <v>455</v>
      </c>
      <c r="C35" s="476">
        <v>41101</v>
      </c>
      <c r="D35" s="483">
        <v>3</v>
      </c>
      <c r="E35" s="484">
        <f t="shared" ref="E35:E38" si="6">D35*C35</f>
        <v>123303</v>
      </c>
      <c r="F35" s="483">
        <v>16.399999999999999</v>
      </c>
      <c r="G35" s="472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</row>
    <row r="36" spans="1:26" x14ac:dyDescent="0.2">
      <c r="A36" s="304"/>
      <c r="B36" s="473" t="s">
        <v>456</v>
      </c>
      <c r="C36" s="476">
        <v>41096.61</v>
      </c>
      <c r="D36" s="483">
        <v>2</v>
      </c>
      <c r="E36" s="484">
        <f t="shared" si="6"/>
        <v>82193.22</v>
      </c>
      <c r="F36" s="483">
        <v>13</v>
      </c>
      <c r="G36" s="472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</row>
    <row r="37" spans="1:26" x14ac:dyDescent="0.2">
      <c r="A37" s="304"/>
      <c r="B37" s="473" t="s">
        <v>457</v>
      </c>
      <c r="C37" s="476">
        <v>15317.04</v>
      </c>
      <c r="D37" s="483">
        <v>2</v>
      </c>
      <c r="E37" s="484">
        <f t="shared" si="6"/>
        <v>30634.080000000002</v>
      </c>
      <c r="F37" s="483">
        <v>13</v>
      </c>
      <c r="G37" s="472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</row>
    <row r="38" spans="1:26" x14ac:dyDescent="0.2">
      <c r="A38" s="304"/>
      <c r="B38" s="478" t="s">
        <v>447</v>
      </c>
      <c r="C38" s="479">
        <v>41101</v>
      </c>
      <c r="D38" s="487">
        <v>3</v>
      </c>
      <c r="E38" s="486">
        <f t="shared" si="6"/>
        <v>123303</v>
      </c>
      <c r="F38" s="487">
        <v>10</v>
      </c>
      <c r="G38" s="489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</row>
    <row r="39" spans="1:26" x14ac:dyDescent="0.2">
      <c r="A39" s="304"/>
      <c r="B39" s="304"/>
      <c r="C39" s="304"/>
      <c r="D39" s="304"/>
      <c r="E39" s="311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</row>
    <row r="40" spans="1:26" ht="14.45" customHeight="1" x14ac:dyDescent="0.2">
      <c r="A40" s="304"/>
      <c r="B40" s="849" t="s">
        <v>634</v>
      </c>
      <c r="C40" s="850"/>
      <c r="D40" s="850"/>
      <c r="E40" s="850"/>
      <c r="F40" s="850"/>
      <c r="G40" s="851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</row>
    <row r="41" spans="1:26" x14ac:dyDescent="0.2">
      <c r="A41" s="304"/>
      <c r="B41" s="469" t="s">
        <v>437</v>
      </c>
      <c r="C41" s="470" t="s">
        <v>438</v>
      </c>
      <c r="D41" s="470" t="s">
        <v>439</v>
      </c>
      <c r="E41" s="470" t="s">
        <v>298</v>
      </c>
      <c r="F41" s="470" t="s">
        <v>440</v>
      </c>
      <c r="G41" s="472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</row>
    <row r="42" spans="1:26" x14ac:dyDescent="0.2">
      <c r="A42" s="304"/>
      <c r="B42" s="473" t="s">
        <v>442</v>
      </c>
      <c r="C42" s="476">
        <v>13786</v>
      </c>
      <c r="D42" s="483">
        <v>1</v>
      </c>
      <c r="E42" s="484">
        <f>D42*C42</f>
        <v>13786</v>
      </c>
      <c r="F42" s="483">
        <v>13</v>
      </c>
      <c r="G42" s="472"/>
      <c r="H42" s="311"/>
      <c r="I42" s="311"/>
      <c r="J42" s="311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</row>
    <row r="43" spans="1:26" x14ac:dyDescent="0.2">
      <c r="A43" s="304"/>
      <c r="B43" s="473" t="s">
        <v>444</v>
      </c>
      <c r="C43" s="476">
        <v>13786</v>
      </c>
      <c r="D43" s="483">
        <v>1</v>
      </c>
      <c r="E43" s="484">
        <f t="shared" ref="E43:E45" si="7">D43*C43</f>
        <v>13786</v>
      </c>
      <c r="F43" s="483">
        <v>10</v>
      </c>
      <c r="G43" s="472"/>
      <c r="H43" s="311"/>
      <c r="I43" s="311"/>
      <c r="J43" s="311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</row>
    <row r="44" spans="1:26" x14ac:dyDescent="0.2">
      <c r="A44" s="304"/>
      <c r="B44" s="473" t="s">
        <v>445</v>
      </c>
      <c r="C44" s="476">
        <v>12123</v>
      </c>
      <c r="D44" s="483">
        <v>3</v>
      </c>
      <c r="E44" s="484">
        <f t="shared" si="7"/>
        <v>36369</v>
      </c>
      <c r="F44" s="483">
        <v>10</v>
      </c>
      <c r="G44" s="472"/>
      <c r="H44" s="311"/>
      <c r="I44" s="311"/>
      <c r="J44" s="311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</row>
    <row r="45" spans="1:26" x14ac:dyDescent="0.2">
      <c r="A45" s="304"/>
      <c r="B45" s="473" t="s">
        <v>458</v>
      </c>
      <c r="C45" s="476">
        <v>10460</v>
      </c>
      <c r="D45" s="483">
        <v>6</v>
      </c>
      <c r="E45" s="484">
        <f t="shared" si="7"/>
        <v>62760</v>
      </c>
      <c r="F45" s="483">
        <v>10</v>
      </c>
      <c r="G45" s="472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</row>
    <row r="46" spans="1:26" x14ac:dyDescent="0.2">
      <c r="A46" s="304"/>
      <c r="B46" s="473" t="s">
        <v>447</v>
      </c>
      <c r="C46" s="476">
        <v>13786</v>
      </c>
      <c r="D46" s="483">
        <v>2</v>
      </c>
      <c r="E46" s="484">
        <f>D46*C46</f>
        <v>27572</v>
      </c>
      <c r="F46" s="483">
        <v>10</v>
      </c>
      <c r="G46" s="472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</row>
    <row r="47" spans="1:26" x14ac:dyDescent="0.2">
      <c r="A47" s="304"/>
      <c r="B47" s="469" t="s">
        <v>459</v>
      </c>
      <c r="C47" s="484">
        <f>90071.8 /2</f>
        <v>45035.9</v>
      </c>
      <c r="D47" s="477"/>
      <c r="E47" s="477"/>
      <c r="F47" s="477"/>
      <c r="G47" s="472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</row>
    <row r="48" spans="1:26" x14ac:dyDescent="0.2">
      <c r="A48" s="304"/>
      <c r="B48" s="488" t="s">
        <v>460</v>
      </c>
      <c r="C48" s="479">
        <v>3884</v>
      </c>
      <c r="D48" s="480"/>
      <c r="E48" s="480"/>
      <c r="F48" s="480"/>
      <c r="G48" s="481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</row>
    <row r="49" spans="1:26" x14ac:dyDescent="0.2">
      <c r="A49" s="304"/>
      <c r="B49" s="307"/>
      <c r="C49" s="305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</row>
    <row r="50" spans="1:26" ht="14.45" customHeight="1" x14ac:dyDescent="0.2">
      <c r="A50" s="304"/>
      <c r="B50" s="849" t="s">
        <v>633</v>
      </c>
      <c r="C50" s="850"/>
      <c r="D50" s="850"/>
      <c r="E50" s="850"/>
      <c r="F50" s="850"/>
      <c r="G50" s="851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</row>
    <row r="51" spans="1:26" x14ac:dyDescent="0.2">
      <c r="A51" s="304"/>
      <c r="B51" s="469" t="s">
        <v>437</v>
      </c>
      <c r="C51" s="470" t="s">
        <v>438</v>
      </c>
      <c r="D51" s="470" t="s">
        <v>439</v>
      </c>
      <c r="E51" s="470" t="s">
        <v>298</v>
      </c>
      <c r="F51" s="470" t="s">
        <v>440</v>
      </c>
      <c r="G51" s="472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</row>
    <row r="52" spans="1:26" x14ac:dyDescent="0.2">
      <c r="A52" s="304"/>
      <c r="B52" s="473" t="s">
        <v>442</v>
      </c>
      <c r="C52" s="476">
        <v>14171</v>
      </c>
      <c r="D52" s="483">
        <v>1</v>
      </c>
      <c r="E52" s="484">
        <f>D52*C52</f>
        <v>14171</v>
      </c>
      <c r="F52" s="483">
        <v>13</v>
      </c>
      <c r="G52" s="472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</row>
    <row r="53" spans="1:26" x14ac:dyDescent="0.2">
      <c r="A53" s="304"/>
      <c r="B53" s="473" t="s">
        <v>444</v>
      </c>
      <c r="C53" s="476">
        <v>14171</v>
      </c>
      <c r="D53" s="483">
        <v>2</v>
      </c>
      <c r="E53" s="484">
        <f t="shared" ref="E53:E56" si="8">D53*C53</f>
        <v>28342</v>
      </c>
      <c r="F53" s="483">
        <v>10</v>
      </c>
      <c r="G53" s="472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</row>
    <row r="54" spans="1:26" x14ac:dyDescent="0.2">
      <c r="A54" s="304"/>
      <c r="B54" s="473" t="s">
        <v>445</v>
      </c>
      <c r="C54" s="476">
        <v>12462</v>
      </c>
      <c r="D54" s="483">
        <v>2</v>
      </c>
      <c r="E54" s="484">
        <f t="shared" si="8"/>
        <v>24924</v>
      </c>
      <c r="F54" s="483">
        <v>10</v>
      </c>
      <c r="G54" s="472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</row>
    <row r="55" spans="1:26" x14ac:dyDescent="0.2">
      <c r="A55" s="304"/>
      <c r="B55" s="473" t="s">
        <v>446</v>
      </c>
      <c r="C55" s="476">
        <v>10752</v>
      </c>
      <c r="D55" s="483">
        <v>2</v>
      </c>
      <c r="E55" s="484">
        <f t="shared" si="8"/>
        <v>21504</v>
      </c>
      <c r="F55" s="483">
        <v>10</v>
      </c>
      <c r="G55" s="472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</row>
    <row r="56" spans="1:26" x14ac:dyDescent="0.2">
      <c r="A56" s="304"/>
      <c r="B56" s="478" t="s">
        <v>447</v>
      </c>
      <c r="C56" s="479">
        <v>14171</v>
      </c>
      <c r="D56" s="487">
        <v>2</v>
      </c>
      <c r="E56" s="486">
        <f t="shared" si="8"/>
        <v>28342</v>
      </c>
      <c r="F56" s="487">
        <v>10</v>
      </c>
      <c r="G56" s="481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</row>
    <row r="57" spans="1:26" x14ac:dyDescent="0.2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</row>
    <row r="58" spans="1:26" x14ac:dyDescent="0.2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</row>
    <row r="59" spans="1:26" ht="14.45" customHeight="1" x14ac:dyDescent="0.2">
      <c r="A59" s="304"/>
      <c r="B59" s="849" t="s">
        <v>632</v>
      </c>
      <c r="C59" s="850"/>
      <c r="D59" s="850"/>
      <c r="E59" s="850"/>
      <c r="F59" s="850"/>
      <c r="G59" s="851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</row>
    <row r="60" spans="1:26" x14ac:dyDescent="0.2">
      <c r="A60" s="304"/>
      <c r="B60" s="469" t="s">
        <v>437</v>
      </c>
      <c r="C60" s="470" t="s">
        <v>438</v>
      </c>
      <c r="D60" s="470" t="s">
        <v>439</v>
      </c>
      <c r="E60" s="470" t="s">
        <v>298</v>
      </c>
      <c r="F60" s="470" t="s">
        <v>440</v>
      </c>
      <c r="G60" s="472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</row>
    <row r="61" spans="1:26" x14ac:dyDescent="0.2">
      <c r="A61" s="304"/>
      <c r="B61" s="473" t="s">
        <v>442</v>
      </c>
      <c r="C61" s="476">
        <v>14069</v>
      </c>
      <c r="D61" s="483">
        <v>1</v>
      </c>
      <c r="E61" s="484">
        <f>D61*C61</f>
        <v>14069</v>
      </c>
      <c r="F61" s="483">
        <v>13</v>
      </c>
      <c r="G61" s="472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</row>
    <row r="62" spans="1:26" x14ac:dyDescent="0.2">
      <c r="A62" s="304"/>
      <c r="B62" s="473" t="s">
        <v>444</v>
      </c>
      <c r="C62" s="476">
        <v>14069</v>
      </c>
      <c r="D62" s="483">
        <v>2</v>
      </c>
      <c r="E62" s="484">
        <f t="shared" ref="E62:E65" si="9">D62*C62</f>
        <v>28138</v>
      </c>
      <c r="F62" s="483">
        <v>10</v>
      </c>
      <c r="G62" s="472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</row>
    <row r="63" spans="1:26" x14ac:dyDescent="0.2">
      <c r="A63" s="304"/>
      <c r="B63" s="473" t="s">
        <v>445</v>
      </c>
      <c r="C63" s="476">
        <v>12371</v>
      </c>
      <c r="D63" s="483">
        <v>2</v>
      </c>
      <c r="E63" s="484">
        <f t="shared" si="9"/>
        <v>24742</v>
      </c>
      <c r="F63" s="483">
        <v>10</v>
      </c>
      <c r="G63" s="472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</row>
    <row r="64" spans="1:26" x14ac:dyDescent="0.2">
      <c r="A64" s="304"/>
      <c r="B64" s="473" t="s">
        <v>446</v>
      </c>
      <c r="C64" s="476">
        <v>10674</v>
      </c>
      <c r="D64" s="483">
        <v>2</v>
      </c>
      <c r="E64" s="484">
        <f t="shared" si="9"/>
        <v>21348</v>
      </c>
      <c r="F64" s="483">
        <v>10</v>
      </c>
      <c r="G64" s="472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</row>
    <row r="65" spans="1:26" x14ac:dyDescent="0.2">
      <c r="A65" s="304"/>
      <c r="B65" s="473" t="s">
        <v>447</v>
      </c>
      <c r="C65" s="476">
        <v>14069</v>
      </c>
      <c r="D65" s="483">
        <v>2</v>
      </c>
      <c r="E65" s="484">
        <f t="shared" si="9"/>
        <v>28138</v>
      </c>
      <c r="F65" s="483">
        <v>10</v>
      </c>
      <c r="G65" s="472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</row>
    <row r="66" spans="1:26" x14ac:dyDescent="0.2">
      <c r="A66" s="304"/>
      <c r="B66" s="469" t="s">
        <v>459</v>
      </c>
      <c r="C66" s="484">
        <f>90071.8 /2</f>
        <v>45035.9</v>
      </c>
      <c r="D66" s="477"/>
      <c r="E66" s="477"/>
      <c r="F66" s="477"/>
      <c r="G66" s="472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</row>
    <row r="67" spans="1:26" x14ac:dyDescent="0.2">
      <c r="A67" s="304"/>
      <c r="B67" s="488" t="s">
        <v>461</v>
      </c>
      <c r="C67" s="479">
        <v>3884</v>
      </c>
      <c r="D67" s="480"/>
      <c r="E67" s="480"/>
      <c r="F67" s="480"/>
      <c r="G67" s="481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</row>
    <row r="68" spans="1:26" x14ac:dyDescent="0.2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</row>
    <row r="69" spans="1:26" ht="14.45" customHeight="1" x14ac:dyDescent="0.2">
      <c r="A69" s="304"/>
      <c r="B69" s="849" t="s">
        <v>631</v>
      </c>
      <c r="C69" s="850"/>
      <c r="D69" s="850"/>
      <c r="E69" s="850"/>
      <c r="F69" s="850"/>
      <c r="G69" s="851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</row>
    <row r="70" spans="1:26" x14ac:dyDescent="0.2">
      <c r="A70" s="304"/>
      <c r="B70" s="469" t="s">
        <v>437</v>
      </c>
      <c r="C70" s="470" t="s">
        <v>438</v>
      </c>
      <c r="D70" s="470" t="s">
        <v>439</v>
      </c>
      <c r="E70" s="470" t="s">
        <v>298</v>
      </c>
      <c r="F70" s="470" t="s">
        <v>440</v>
      </c>
      <c r="G70" s="472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</row>
    <row r="71" spans="1:26" x14ac:dyDescent="0.2">
      <c r="A71" s="304"/>
      <c r="B71" s="473" t="s">
        <v>442</v>
      </c>
      <c r="C71" s="476">
        <v>14510</v>
      </c>
      <c r="D71" s="483">
        <v>1</v>
      </c>
      <c r="E71" s="484">
        <f>D71*C71</f>
        <v>14510</v>
      </c>
      <c r="F71" s="483">
        <v>13</v>
      </c>
      <c r="G71" s="472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</row>
    <row r="72" spans="1:26" x14ac:dyDescent="0.2">
      <c r="A72" s="304"/>
      <c r="B72" s="473" t="s">
        <v>444</v>
      </c>
      <c r="C72" s="476">
        <v>14510</v>
      </c>
      <c r="D72" s="483">
        <v>2</v>
      </c>
      <c r="E72" s="484">
        <f t="shared" ref="E72:E75" si="10">D72*C72</f>
        <v>29020</v>
      </c>
      <c r="F72" s="483">
        <v>10</v>
      </c>
      <c r="G72" s="472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</row>
    <row r="73" spans="1:26" x14ac:dyDescent="0.2">
      <c r="A73" s="304"/>
      <c r="B73" s="473" t="s">
        <v>445</v>
      </c>
      <c r="C73" s="476">
        <v>12760</v>
      </c>
      <c r="D73" s="483">
        <v>2</v>
      </c>
      <c r="E73" s="484">
        <f t="shared" si="10"/>
        <v>25520</v>
      </c>
      <c r="F73" s="483">
        <v>10</v>
      </c>
      <c r="G73" s="472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</row>
    <row r="74" spans="1:26" x14ac:dyDescent="0.2">
      <c r="A74" s="304"/>
      <c r="B74" s="473" t="s">
        <v>458</v>
      </c>
      <c r="C74" s="476">
        <v>11009</v>
      </c>
      <c r="D74" s="483">
        <v>2</v>
      </c>
      <c r="E74" s="484">
        <f t="shared" si="10"/>
        <v>22018</v>
      </c>
      <c r="F74" s="483">
        <v>10</v>
      </c>
      <c r="G74" s="472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</row>
    <row r="75" spans="1:26" x14ac:dyDescent="0.2">
      <c r="A75" s="304"/>
      <c r="B75" s="478" t="s">
        <v>447</v>
      </c>
      <c r="C75" s="479">
        <v>14510</v>
      </c>
      <c r="D75" s="487">
        <v>2</v>
      </c>
      <c r="E75" s="486">
        <f t="shared" si="10"/>
        <v>29020</v>
      </c>
      <c r="F75" s="487">
        <v>10</v>
      </c>
      <c r="G75" s="481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</row>
    <row r="76" spans="1:26" x14ac:dyDescent="0.2">
      <c r="A76" s="304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</row>
    <row r="77" spans="1:26" ht="14.45" customHeight="1" x14ac:dyDescent="0.2">
      <c r="A77" s="304"/>
      <c r="B77" s="849" t="s">
        <v>630</v>
      </c>
      <c r="C77" s="850"/>
      <c r="D77" s="850"/>
      <c r="E77" s="850"/>
      <c r="F77" s="850"/>
      <c r="G77" s="851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</row>
    <row r="78" spans="1:26" x14ac:dyDescent="0.2">
      <c r="A78" s="304"/>
      <c r="B78" s="469" t="s">
        <v>437</v>
      </c>
      <c r="C78" s="470" t="s">
        <v>438</v>
      </c>
      <c r="D78" s="470" t="s">
        <v>439</v>
      </c>
      <c r="E78" s="470" t="s">
        <v>298</v>
      </c>
      <c r="F78" s="470" t="s">
        <v>440</v>
      </c>
      <c r="G78" s="472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</row>
    <row r="79" spans="1:26" x14ac:dyDescent="0.2">
      <c r="A79" s="304"/>
      <c r="B79" s="473" t="s">
        <v>442</v>
      </c>
      <c r="C79" s="476">
        <v>14510</v>
      </c>
      <c r="D79" s="483">
        <v>1</v>
      </c>
      <c r="E79" s="484">
        <f>D79*C79</f>
        <v>14510</v>
      </c>
      <c r="F79" s="483">
        <v>13</v>
      </c>
      <c r="G79" s="472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</row>
    <row r="80" spans="1:26" x14ac:dyDescent="0.2">
      <c r="A80" s="304"/>
      <c r="B80" s="473" t="s">
        <v>444</v>
      </c>
      <c r="C80" s="476">
        <v>12887</v>
      </c>
      <c r="D80" s="483">
        <v>2</v>
      </c>
      <c r="E80" s="484">
        <f t="shared" ref="E80:E82" si="11">D80*C80</f>
        <v>25774</v>
      </c>
      <c r="F80" s="483">
        <v>10</v>
      </c>
      <c r="G80" s="472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</row>
    <row r="81" spans="1:26" x14ac:dyDescent="0.2">
      <c r="A81" s="304"/>
      <c r="B81" s="473" t="s">
        <v>462</v>
      </c>
      <c r="C81" s="476">
        <v>11009</v>
      </c>
      <c r="D81" s="483">
        <v>2</v>
      </c>
      <c r="E81" s="484">
        <f t="shared" si="11"/>
        <v>22018</v>
      </c>
      <c r="F81" s="483">
        <v>10</v>
      </c>
      <c r="G81" s="472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</row>
    <row r="82" spans="1:26" x14ac:dyDescent="0.2">
      <c r="A82" s="304"/>
      <c r="B82" s="473" t="s">
        <v>447</v>
      </c>
      <c r="C82" s="476">
        <v>14510</v>
      </c>
      <c r="D82" s="483">
        <v>3</v>
      </c>
      <c r="E82" s="484">
        <f t="shared" si="11"/>
        <v>43530</v>
      </c>
      <c r="F82" s="483">
        <v>10</v>
      </c>
      <c r="G82" s="472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</row>
    <row r="83" spans="1:26" x14ac:dyDescent="0.2">
      <c r="A83" s="304"/>
      <c r="B83" s="488" t="s">
        <v>463</v>
      </c>
      <c r="C83" s="479">
        <v>3816</v>
      </c>
      <c r="D83" s="480"/>
      <c r="E83" s="480"/>
      <c r="F83" s="480"/>
      <c r="G83" s="481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</row>
    <row r="84" spans="1:26" x14ac:dyDescent="0.2">
      <c r="A84" s="304"/>
      <c r="B84" s="307"/>
      <c r="C84" s="305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</row>
    <row r="85" spans="1:26" ht="14.45" customHeight="1" x14ac:dyDescent="0.2">
      <c r="A85" s="304"/>
      <c r="B85" s="849" t="s">
        <v>629</v>
      </c>
      <c r="C85" s="850"/>
      <c r="D85" s="850"/>
      <c r="E85" s="850"/>
      <c r="F85" s="850"/>
      <c r="G85" s="851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</row>
    <row r="86" spans="1:26" x14ac:dyDescent="0.2">
      <c r="A86" s="304"/>
      <c r="B86" s="469" t="s">
        <v>437</v>
      </c>
      <c r="C86" s="470" t="s">
        <v>438</v>
      </c>
      <c r="D86" s="470" t="s">
        <v>439</v>
      </c>
      <c r="E86" s="470" t="s">
        <v>298</v>
      </c>
      <c r="F86" s="470" t="s">
        <v>440</v>
      </c>
      <c r="G86" s="482" t="s">
        <v>464</v>
      </c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</row>
    <row r="87" spans="1:26" ht="51" x14ac:dyDescent="0.2">
      <c r="A87" s="304"/>
      <c r="B87" s="473" t="s">
        <v>442</v>
      </c>
      <c r="C87" s="476">
        <v>16604</v>
      </c>
      <c r="D87" s="483">
        <v>1</v>
      </c>
      <c r="E87" s="484">
        <f>D87*C87</f>
        <v>16604</v>
      </c>
      <c r="F87" s="483">
        <v>15</v>
      </c>
      <c r="G87" s="472" t="s">
        <v>465</v>
      </c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</row>
    <row r="88" spans="1:26" x14ac:dyDescent="0.2">
      <c r="A88" s="304"/>
      <c r="B88" s="473" t="s">
        <v>444</v>
      </c>
      <c r="C88" s="476">
        <v>16607</v>
      </c>
      <c r="D88" s="483">
        <v>3</v>
      </c>
      <c r="E88" s="484">
        <f t="shared" ref="E88:E92" si="12">D88*C88</f>
        <v>49821</v>
      </c>
      <c r="F88" s="483">
        <v>10</v>
      </c>
      <c r="G88" s="472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</row>
    <row r="89" spans="1:26" x14ac:dyDescent="0.2">
      <c r="A89" s="304"/>
      <c r="B89" s="473" t="s">
        <v>466</v>
      </c>
      <c r="C89" s="476">
        <v>13129</v>
      </c>
      <c r="D89" s="483">
        <v>5</v>
      </c>
      <c r="E89" s="484">
        <f t="shared" si="12"/>
        <v>65645</v>
      </c>
      <c r="F89" s="483">
        <v>10</v>
      </c>
      <c r="G89" s="472" t="s">
        <v>467</v>
      </c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</row>
    <row r="90" spans="1:26" x14ac:dyDescent="0.2">
      <c r="A90" s="304"/>
      <c r="B90" s="473" t="s">
        <v>468</v>
      </c>
      <c r="C90" s="476">
        <v>8128</v>
      </c>
      <c r="D90" s="483">
        <v>3</v>
      </c>
      <c r="E90" s="484">
        <f t="shared" si="12"/>
        <v>24384</v>
      </c>
      <c r="F90" s="483">
        <v>10</v>
      </c>
      <c r="G90" s="472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</row>
    <row r="91" spans="1:26" x14ac:dyDescent="0.2">
      <c r="A91" s="304"/>
      <c r="B91" s="473" t="s">
        <v>469</v>
      </c>
      <c r="C91" s="476">
        <v>6450</v>
      </c>
      <c r="D91" s="483">
        <v>7</v>
      </c>
      <c r="E91" s="484">
        <f t="shared" si="12"/>
        <v>45150</v>
      </c>
      <c r="F91" s="483">
        <v>10</v>
      </c>
      <c r="G91" s="472" t="s">
        <v>470</v>
      </c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</row>
    <row r="92" spans="1:26" x14ac:dyDescent="0.2">
      <c r="A92" s="304"/>
      <c r="B92" s="478" t="s">
        <v>447</v>
      </c>
      <c r="C92" s="479">
        <v>16604</v>
      </c>
      <c r="D92" s="487">
        <v>3</v>
      </c>
      <c r="E92" s="486">
        <f t="shared" si="12"/>
        <v>49812</v>
      </c>
      <c r="F92" s="487">
        <v>10</v>
      </c>
      <c r="G92" s="481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</row>
    <row r="93" spans="1:26" x14ac:dyDescent="0.2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</row>
    <row r="94" spans="1:26" x14ac:dyDescent="0.2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</row>
    <row r="95" spans="1:26" ht="14.45" customHeight="1" x14ac:dyDescent="0.2">
      <c r="A95" s="304"/>
      <c r="B95" s="849" t="s">
        <v>628</v>
      </c>
      <c r="C95" s="850"/>
      <c r="D95" s="850"/>
      <c r="E95" s="850"/>
      <c r="F95" s="850"/>
      <c r="G95" s="851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</row>
    <row r="96" spans="1:26" x14ac:dyDescent="0.2">
      <c r="A96" s="304"/>
      <c r="B96" s="469" t="s">
        <v>437</v>
      </c>
      <c r="C96" s="470" t="s">
        <v>438</v>
      </c>
      <c r="D96" s="470" t="s">
        <v>439</v>
      </c>
      <c r="E96" s="470" t="s">
        <v>298</v>
      </c>
      <c r="F96" s="470" t="s">
        <v>440</v>
      </c>
      <c r="G96" s="482" t="s">
        <v>464</v>
      </c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</row>
    <row r="97" spans="1:26" x14ac:dyDescent="0.2">
      <c r="A97" s="304"/>
      <c r="B97" s="469" t="s">
        <v>441</v>
      </c>
      <c r="C97" s="476">
        <v>55801</v>
      </c>
      <c r="D97" s="483">
        <v>1</v>
      </c>
      <c r="E97" s="484">
        <f>D97*C97</f>
        <v>55801</v>
      </c>
      <c r="F97" s="483">
        <v>16.399999999999999</v>
      </c>
      <c r="G97" s="485" t="s">
        <v>471</v>
      </c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</row>
    <row r="98" spans="1:26" x14ac:dyDescent="0.2">
      <c r="A98" s="304"/>
      <c r="B98" s="473" t="s">
        <v>472</v>
      </c>
      <c r="C98" s="476">
        <v>23594</v>
      </c>
      <c r="D98" s="483">
        <v>4</v>
      </c>
      <c r="E98" s="484">
        <f t="shared" ref="E98:E105" si="13">D98*C98</f>
        <v>94376</v>
      </c>
      <c r="F98" s="483">
        <v>13</v>
      </c>
      <c r="G98" s="472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</row>
    <row r="99" spans="1:26" ht="25.5" x14ac:dyDescent="0.2">
      <c r="A99" s="304"/>
      <c r="B99" s="473" t="s">
        <v>473</v>
      </c>
      <c r="C99" s="476">
        <v>23954</v>
      </c>
      <c r="D99" s="483">
        <v>1</v>
      </c>
      <c r="E99" s="484">
        <f t="shared" si="13"/>
        <v>23954</v>
      </c>
      <c r="F99" s="483">
        <v>13</v>
      </c>
      <c r="G99" s="472" t="s">
        <v>474</v>
      </c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</row>
    <row r="100" spans="1:26" x14ac:dyDescent="0.2">
      <c r="A100" s="304"/>
      <c r="B100" s="473" t="s">
        <v>456</v>
      </c>
      <c r="C100" s="476">
        <v>20208</v>
      </c>
      <c r="D100" s="483">
        <v>2</v>
      </c>
      <c r="E100" s="484">
        <f t="shared" si="13"/>
        <v>40416</v>
      </c>
      <c r="F100" s="483">
        <v>13</v>
      </c>
      <c r="G100" s="472" t="s">
        <v>475</v>
      </c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</row>
    <row r="101" spans="1:26" x14ac:dyDescent="0.2">
      <c r="A101" s="304"/>
      <c r="B101" s="473" t="s">
        <v>457</v>
      </c>
      <c r="C101" s="476">
        <v>13683</v>
      </c>
      <c r="D101" s="483">
        <v>1</v>
      </c>
      <c r="E101" s="484">
        <f t="shared" si="13"/>
        <v>13683</v>
      </c>
      <c r="F101" s="483">
        <v>13</v>
      </c>
      <c r="G101" s="472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</row>
    <row r="102" spans="1:26" x14ac:dyDescent="0.2">
      <c r="A102" s="304"/>
      <c r="B102" s="473" t="s">
        <v>476</v>
      </c>
      <c r="C102" s="476">
        <v>8846</v>
      </c>
      <c r="D102" s="483">
        <v>2</v>
      </c>
      <c r="E102" s="484">
        <f t="shared" si="13"/>
        <v>17692</v>
      </c>
      <c r="F102" s="483">
        <v>13</v>
      </c>
      <c r="G102" s="472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</row>
    <row r="103" spans="1:26" x14ac:dyDescent="0.2">
      <c r="A103" s="304"/>
      <c r="B103" s="473" t="s">
        <v>444</v>
      </c>
      <c r="C103" s="476">
        <v>17741</v>
      </c>
      <c r="D103" s="483">
        <v>4</v>
      </c>
      <c r="E103" s="484">
        <f t="shared" si="13"/>
        <v>70964</v>
      </c>
      <c r="F103" s="483">
        <v>13</v>
      </c>
      <c r="G103" s="472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</row>
    <row r="104" spans="1:26" x14ac:dyDescent="0.2">
      <c r="A104" s="304"/>
      <c r="B104" s="473" t="s">
        <v>445</v>
      </c>
      <c r="C104" s="476">
        <v>5600</v>
      </c>
      <c r="D104" s="483">
        <v>6</v>
      </c>
      <c r="E104" s="484">
        <f t="shared" si="13"/>
        <v>33600</v>
      </c>
      <c r="F104" s="483">
        <v>13</v>
      </c>
      <c r="G104" s="472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</row>
    <row r="105" spans="1:26" x14ac:dyDescent="0.2">
      <c r="A105" s="304"/>
      <c r="B105" s="478" t="s">
        <v>447</v>
      </c>
      <c r="C105" s="486">
        <f>C97</f>
        <v>55801</v>
      </c>
      <c r="D105" s="487">
        <v>3</v>
      </c>
      <c r="E105" s="486">
        <f t="shared" si="13"/>
        <v>167403</v>
      </c>
      <c r="F105" s="480"/>
      <c r="G105" s="481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</row>
    <row r="106" spans="1:26" x14ac:dyDescent="0.2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</row>
    <row r="107" spans="1:26" ht="14.45" customHeight="1" x14ac:dyDescent="0.2">
      <c r="A107" s="304"/>
      <c r="B107" s="849" t="s">
        <v>627</v>
      </c>
      <c r="C107" s="850"/>
      <c r="D107" s="850"/>
      <c r="E107" s="850"/>
      <c r="F107" s="850"/>
      <c r="G107" s="851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</row>
    <row r="108" spans="1:26" x14ac:dyDescent="0.2">
      <c r="A108" s="304"/>
      <c r="B108" s="469" t="s">
        <v>437</v>
      </c>
      <c r="C108" s="470" t="s">
        <v>438</v>
      </c>
      <c r="D108" s="470" t="s">
        <v>439</v>
      </c>
      <c r="E108" s="470" t="s">
        <v>298</v>
      </c>
      <c r="F108" s="470" t="s">
        <v>440</v>
      </c>
      <c r="G108" s="482" t="s">
        <v>464</v>
      </c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</row>
    <row r="109" spans="1:26" x14ac:dyDescent="0.2">
      <c r="A109" s="304"/>
      <c r="B109" s="469" t="s">
        <v>441</v>
      </c>
      <c r="C109" s="476">
        <v>56780</v>
      </c>
      <c r="D109" s="483">
        <v>1</v>
      </c>
      <c r="E109" s="484">
        <f t="shared" ref="E109:E117" si="14">D109*C109</f>
        <v>56780</v>
      </c>
      <c r="F109" s="483">
        <v>13</v>
      </c>
      <c r="G109" s="472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</row>
    <row r="110" spans="1:26" x14ac:dyDescent="0.2">
      <c r="A110" s="304"/>
      <c r="B110" s="473" t="s">
        <v>473</v>
      </c>
      <c r="C110" s="476">
        <v>14822</v>
      </c>
      <c r="D110" s="483">
        <v>1</v>
      </c>
      <c r="E110" s="484">
        <f t="shared" si="14"/>
        <v>14822</v>
      </c>
      <c r="F110" s="483">
        <v>13</v>
      </c>
      <c r="G110" s="472" t="s">
        <v>477</v>
      </c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</row>
    <row r="111" spans="1:26" ht="25.5" x14ac:dyDescent="0.2">
      <c r="A111" s="304"/>
      <c r="B111" s="473" t="s">
        <v>478</v>
      </c>
      <c r="C111" s="476">
        <v>56780</v>
      </c>
      <c r="D111" s="483">
        <v>1</v>
      </c>
      <c r="E111" s="484">
        <f t="shared" si="14"/>
        <v>56780</v>
      </c>
      <c r="F111" s="483">
        <v>13</v>
      </c>
      <c r="G111" s="472" t="s">
        <v>479</v>
      </c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</row>
    <row r="112" spans="1:26" x14ac:dyDescent="0.2">
      <c r="A112" s="304"/>
      <c r="B112" s="473" t="s">
        <v>480</v>
      </c>
      <c r="C112" s="476">
        <v>24755</v>
      </c>
      <c r="D112" s="483">
        <v>1</v>
      </c>
      <c r="E112" s="484">
        <f t="shared" si="14"/>
        <v>24755</v>
      </c>
      <c r="F112" s="483">
        <v>13</v>
      </c>
      <c r="G112" s="472" t="s">
        <v>481</v>
      </c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</row>
    <row r="113" spans="1:26" x14ac:dyDescent="0.2">
      <c r="A113" s="304"/>
      <c r="B113" s="473" t="s">
        <v>444</v>
      </c>
      <c r="C113" s="476">
        <v>29845</v>
      </c>
      <c r="D113" s="483">
        <v>3</v>
      </c>
      <c r="E113" s="484">
        <f t="shared" si="14"/>
        <v>89535</v>
      </c>
      <c r="F113" s="483">
        <v>13</v>
      </c>
      <c r="G113" s="485" t="s">
        <v>482</v>
      </c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</row>
    <row r="114" spans="1:26" x14ac:dyDescent="0.2">
      <c r="A114" s="304"/>
      <c r="B114" s="473" t="s">
        <v>445</v>
      </c>
      <c r="C114" s="476">
        <v>17766</v>
      </c>
      <c r="D114" s="483">
        <v>5</v>
      </c>
      <c r="E114" s="484">
        <f t="shared" si="14"/>
        <v>88830</v>
      </c>
      <c r="F114" s="483">
        <v>13</v>
      </c>
      <c r="G114" s="472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</row>
    <row r="115" spans="1:26" x14ac:dyDescent="0.2">
      <c r="A115" s="304"/>
      <c r="B115" s="473" t="s">
        <v>468</v>
      </c>
      <c r="C115" s="476">
        <v>5600</v>
      </c>
      <c r="D115" s="483">
        <v>4</v>
      </c>
      <c r="E115" s="484">
        <f t="shared" si="14"/>
        <v>22400</v>
      </c>
      <c r="F115" s="483">
        <v>13</v>
      </c>
      <c r="G115" s="472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</row>
    <row r="116" spans="1:26" x14ac:dyDescent="0.2">
      <c r="A116" s="304"/>
      <c r="B116" s="473" t="s">
        <v>483</v>
      </c>
      <c r="C116" s="476">
        <v>52682</v>
      </c>
      <c r="D116" s="483">
        <v>1</v>
      </c>
      <c r="E116" s="484">
        <f t="shared" si="14"/>
        <v>52682</v>
      </c>
      <c r="F116" s="477"/>
      <c r="G116" s="472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</row>
    <row r="117" spans="1:26" x14ac:dyDescent="0.2">
      <c r="A117" s="304"/>
      <c r="B117" s="478" t="s">
        <v>447</v>
      </c>
      <c r="C117" s="486">
        <f>C109</f>
        <v>56780</v>
      </c>
      <c r="D117" s="487">
        <v>2</v>
      </c>
      <c r="E117" s="486">
        <f t="shared" si="14"/>
        <v>113560</v>
      </c>
      <c r="F117" s="480"/>
      <c r="G117" s="481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</row>
    <row r="118" spans="1:26" x14ac:dyDescent="0.2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</row>
    <row r="119" spans="1:26" ht="14.45" customHeight="1" x14ac:dyDescent="0.2">
      <c r="A119" s="304"/>
      <c r="B119" s="849" t="s">
        <v>484</v>
      </c>
      <c r="C119" s="850"/>
      <c r="D119" s="850"/>
      <c r="E119" s="850"/>
      <c r="F119" s="850"/>
      <c r="G119" s="851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</row>
    <row r="120" spans="1:26" x14ac:dyDescent="0.2">
      <c r="A120" s="304"/>
      <c r="B120" s="469" t="s">
        <v>485</v>
      </c>
      <c r="C120" s="470" t="s">
        <v>486</v>
      </c>
      <c r="D120" s="471" t="s">
        <v>487</v>
      </c>
      <c r="E120" s="853" t="s">
        <v>464</v>
      </c>
      <c r="F120" s="853"/>
      <c r="G120" s="472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</row>
    <row r="121" spans="1:26" x14ac:dyDescent="0.2">
      <c r="A121" s="304"/>
      <c r="B121" s="473" t="s">
        <v>488</v>
      </c>
      <c r="C121" s="474">
        <v>1</v>
      </c>
      <c r="D121" s="475">
        <v>390988</v>
      </c>
      <c r="E121" s="852"/>
      <c r="F121" s="852"/>
      <c r="G121" s="472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</row>
    <row r="122" spans="1:26" x14ac:dyDescent="0.2">
      <c r="A122" s="304"/>
      <c r="B122" s="473" t="s">
        <v>489</v>
      </c>
      <c r="C122" s="474">
        <v>0.28999999999999998</v>
      </c>
      <c r="D122" s="475">
        <v>112744</v>
      </c>
      <c r="E122" s="852"/>
      <c r="F122" s="852"/>
      <c r="G122" s="472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</row>
    <row r="123" spans="1:26" x14ac:dyDescent="0.2">
      <c r="A123" s="304"/>
      <c r="B123" s="473" t="s">
        <v>490</v>
      </c>
      <c r="C123" s="474">
        <v>0.71</v>
      </c>
      <c r="D123" s="475">
        <v>278244</v>
      </c>
      <c r="E123" s="852"/>
      <c r="F123" s="852"/>
      <c r="G123" s="472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</row>
    <row r="124" spans="1:26" x14ac:dyDescent="0.2">
      <c r="A124" s="304"/>
      <c r="B124" s="473" t="s">
        <v>491</v>
      </c>
      <c r="C124" s="474">
        <v>0.1</v>
      </c>
      <c r="D124" s="475">
        <v>27824.400000000001</v>
      </c>
      <c r="E124" s="852" t="s">
        <v>492</v>
      </c>
      <c r="F124" s="852"/>
      <c r="G124" s="472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</row>
    <row r="125" spans="1:26" x14ac:dyDescent="0.2">
      <c r="A125" s="304"/>
      <c r="B125" s="473" t="s">
        <v>493</v>
      </c>
      <c r="C125" s="474">
        <v>0.3</v>
      </c>
      <c r="D125" s="475">
        <v>83473.2</v>
      </c>
      <c r="E125" s="852" t="s">
        <v>494</v>
      </c>
      <c r="F125" s="852"/>
      <c r="G125" s="472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</row>
    <row r="126" spans="1:26" x14ac:dyDescent="0.2">
      <c r="A126" s="304"/>
      <c r="B126" s="473" t="s">
        <v>495</v>
      </c>
      <c r="C126" s="474">
        <v>0.33</v>
      </c>
      <c r="D126" s="475">
        <v>91820.52</v>
      </c>
      <c r="E126" s="852" t="s">
        <v>496</v>
      </c>
      <c r="F126" s="852"/>
      <c r="G126" s="472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</row>
    <row r="127" spans="1:26" x14ac:dyDescent="0.2">
      <c r="A127" s="304"/>
      <c r="B127" s="473" t="s">
        <v>497</v>
      </c>
      <c r="C127" s="474">
        <v>0.75</v>
      </c>
      <c r="D127" s="476">
        <v>30679.5</v>
      </c>
      <c r="E127" s="852" t="s">
        <v>498</v>
      </c>
      <c r="F127" s="852"/>
      <c r="G127" s="472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</row>
    <row r="128" spans="1:26" x14ac:dyDescent="0.2">
      <c r="A128" s="304"/>
      <c r="B128" s="473" t="s">
        <v>499</v>
      </c>
      <c r="C128" s="474">
        <v>0.5</v>
      </c>
      <c r="D128" s="476">
        <v>15958.5</v>
      </c>
      <c r="E128" s="852" t="s">
        <v>500</v>
      </c>
      <c r="F128" s="852"/>
      <c r="G128" s="472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</row>
    <row r="129" spans="1:26" x14ac:dyDescent="0.2">
      <c r="A129" s="304"/>
      <c r="B129" s="473"/>
      <c r="C129" s="477"/>
      <c r="D129" s="477"/>
      <c r="E129" s="477"/>
      <c r="F129" s="477"/>
      <c r="G129" s="472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</row>
    <row r="130" spans="1:26" x14ac:dyDescent="0.2">
      <c r="A130" s="304"/>
      <c r="B130" s="469" t="s">
        <v>501</v>
      </c>
      <c r="C130" s="470" t="s">
        <v>502</v>
      </c>
      <c r="D130" s="477"/>
      <c r="E130" s="477"/>
      <c r="F130" s="477"/>
      <c r="G130" s="472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</row>
    <row r="131" spans="1:26" x14ac:dyDescent="0.2">
      <c r="A131" s="304"/>
      <c r="B131" s="473" t="s">
        <v>133</v>
      </c>
      <c r="C131" s="476">
        <v>31917</v>
      </c>
      <c r="D131" s="477"/>
      <c r="E131" s="477"/>
      <c r="F131" s="477"/>
      <c r="G131" s="472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</row>
    <row r="132" spans="1:26" x14ac:dyDescent="0.2">
      <c r="A132" s="304"/>
      <c r="B132" s="478" t="s">
        <v>142</v>
      </c>
      <c r="C132" s="479">
        <v>40906</v>
      </c>
      <c r="D132" s="480"/>
      <c r="E132" s="480"/>
      <c r="F132" s="480"/>
      <c r="G132" s="481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</row>
    <row r="133" spans="1:26" x14ac:dyDescent="0.2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</row>
    <row r="134" spans="1:26" x14ac:dyDescent="0.2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</row>
    <row r="135" spans="1:26" x14ac:dyDescent="0.2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</row>
    <row r="136" spans="1:26" x14ac:dyDescent="0.2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</row>
    <row r="137" spans="1:26" x14ac:dyDescent="0.2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</row>
    <row r="138" spans="1:26" x14ac:dyDescent="0.2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</row>
    <row r="139" spans="1:26" x14ac:dyDescent="0.2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</row>
    <row r="140" spans="1:26" x14ac:dyDescent="0.2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</row>
    <row r="141" spans="1:26" x14ac:dyDescent="0.2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</row>
    <row r="142" spans="1:26" x14ac:dyDescent="0.2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</row>
    <row r="143" spans="1:26" x14ac:dyDescent="0.2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</row>
    <row r="144" spans="1:26" x14ac:dyDescent="0.2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</row>
    <row r="145" spans="1:26" x14ac:dyDescent="0.2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</row>
    <row r="146" spans="1:26" x14ac:dyDescent="0.2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</row>
    <row r="147" spans="1:26" x14ac:dyDescent="0.2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</row>
    <row r="148" spans="1:26" x14ac:dyDescent="0.2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</row>
    <row r="149" spans="1:26" x14ac:dyDescent="0.2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</row>
    <row r="150" spans="1:26" x14ac:dyDescent="0.2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</row>
    <row r="151" spans="1:26" x14ac:dyDescent="0.2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</row>
    <row r="152" spans="1:26" x14ac:dyDescent="0.2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</row>
    <row r="153" spans="1:26" x14ac:dyDescent="0.2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</row>
    <row r="154" spans="1:26" x14ac:dyDescent="0.2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</row>
    <row r="155" spans="1:26" x14ac:dyDescent="0.2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</row>
    <row r="156" spans="1:26" x14ac:dyDescent="0.2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</row>
    <row r="157" spans="1:26" x14ac:dyDescent="0.2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</row>
    <row r="158" spans="1:26" x14ac:dyDescent="0.2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</row>
    <row r="159" spans="1:26" x14ac:dyDescent="0.2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04"/>
      <c r="U159" s="304"/>
      <c r="V159" s="304"/>
      <c r="W159" s="304"/>
      <c r="X159" s="304"/>
      <c r="Y159" s="304"/>
      <c r="Z159" s="304"/>
    </row>
    <row r="160" spans="1:26" x14ac:dyDescent="0.2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</row>
    <row r="161" spans="1:26" x14ac:dyDescent="0.2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</row>
    <row r="162" spans="1:26" x14ac:dyDescent="0.2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</row>
    <row r="163" spans="1:26" x14ac:dyDescent="0.2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304"/>
      <c r="U163" s="304"/>
      <c r="V163" s="304"/>
      <c r="W163" s="304"/>
      <c r="X163" s="304"/>
      <c r="Y163" s="304"/>
      <c r="Z163" s="304"/>
    </row>
    <row r="164" spans="1:26" x14ac:dyDescent="0.2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04"/>
      <c r="U164" s="304"/>
      <c r="V164" s="304"/>
      <c r="W164" s="304"/>
      <c r="X164" s="304"/>
      <c r="Y164" s="304"/>
      <c r="Z164" s="304"/>
    </row>
    <row r="165" spans="1:26" x14ac:dyDescent="0.2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</row>
    <row r="166" spans="1:26" x14ac:dyDescent="0.2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304"/>
      <c r="U166" s="304"/>
      <c r="V166" s="304"/>
      <c r="W166" s="304"/>
      <c r="X166" s="304"/>
      <c r="Y166" s="304"/>
      <c r="Z166" s="304"/>
    </row>
    <row r="167" spans="1:26" x14ac:dyDescent="0.2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</row>
    <row r="168" spans="1:26" x14ac:dyDescent="0.2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04"/>
      <c r="S168" s="304"/>
      <c r="T168" s="304"/>
      <c r="U168" s="304"/>
      <c r="V168" s="304"/>
      <c r="W168" s="304"/>
      <c r="X168" s="304"/>
      <c r="Y168" s="304"/>
      <c r="Z168" s="304"/>
    </row>
    <row r="169" spans="1:26" x14ac:dyDescent="0.2">
      <c r="A169" s="304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</row>
    <row r="170" spans="1:26" x14ac:dyDescent="0.2">
      <c r="A170" s="304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</row>
    <row r="171" spans="1:26" x14ac:dyDescent="0.2">
      <c r="A171" s="304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</row>
    <row r="172" spans="1:26" x14ac:dyDescent="0.2">
      <c r="A172" s="304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</row>
    <row r="173" spans="1:26" x14ac:dyDescent="0.2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</row>
    <row r="174" spans="1:26" x14ac:dyDescent="0.2">
      <c r="A174" s="304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</row>
    <row r="175" spans="1:26" x14ac:dyDescent="0.2">
      <c r="A175" s="304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304"/>
      <c r="V175" s="304"/>
      <c r="W175" s="304"/>
      <c r="X175" s="304"/>
      <c r="Y175" s="304"/>
      <c r="Z175" s="304"/>
    </row>
    <row r="176" spans="1:26" x14ac:dyDescent="0.2">
      <c r="A176" s="304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</row>
    <row r="177" spans="1:26" x14ac:dyDescent="0.2">
      <c r="A177" s="304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04"/>
      <c r="U177" s="304"/>
      <c r="V177" s="304"/>
      <c r="W177" s="304"/>
      <c r="X177" s="304"/>
      <c r="Y177" s="304"/>
      <c r="Z177" s="304"/>
    </row>
    <row r="178" spans="1:26" x14ac:dyDescent="0.2">
      <c r="A178" s="304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</row>
    <row r="179" spans="1:26" x14ac:dyDescent="0.2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304"/>
      <c r="S179" s="304"/>
      <c r="T179" s="304"/>
      <c r="U179" s="304"/>
      <c r="V179" s="304"/>
      <c r="W179" s="304"/>
      <c r="X179" s="304"/>
      <c r="Y179" s="304"/>
      <c r="Z179" s="304"/>
    </row>
    <row r="180" spans="1:26" x14ac:dyDescent="0.2">
      <c r="A180" s="304"/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</row>
    <row r="181" spans="1:26" x14ac:dyDescent="0.2">
      <c r="A181" s="304"/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/>
      <c r="T181" s="304"/>
      <c r="U181" s="304"/>
      <c r="V181" s="304"/>
      <c r="W181" s="304"/>
      <c r="X181" s="304"/>
      <c r="Y181" s="304"/>
      <c r="Z181" s="304"/>
    </row>
    <row r="182" spans="1:26" x14ac:dyDescent="0.2">
      <c r="A182" s="304"/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304"/>
      <c r="Q182" s="304"/>
      <c r="R182" s="304"/>
      <c r="S182" s="304"/>
      <c r="T182" s="304"/>
      <c r="U182" s="304"/>
      <c r="V182" s="304"/>
      <c r="W182" s="304"/>
      <c r="X182" s="304"/>
      <c r="Y182" s="304"/>
      <c r="Z182" s="304"/>
    </row>
    <row r="183" spans="1:26" x14ac:dyDescent="0.2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</row>
    <row r="184" spans="1:26" x14ac:dyDescent="0.2">
      <c r="A184" s="304"/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</row>
    <row r="185" spans="1:26" x14ac:dyDescent="0.2">
      <c r="A185" s="304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  <c r="T185" s="304"/>
      <c r="U185" s="304"/>
      <c r="V185" s="304"/>
      <c r="W185" s="304"/>
      <c r="X185" s="304"/>
      <c r="Y185" s="304"/>
      <c r="Z185" s="304"/>
    </row>
    <row r="186" spans="1:26" x14ac:dyDescent="0.2">
      <c r="A186" s="304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</row>
    <row r="187" spans="1:26" x14ac:dyDescent="0.2">
      <c r="A187" s="304"/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4"/>
      <c r="U187" s="304"/>
      <c r="V187" s="304"/>
      <c r="W187" s="304"/>
      <c r="X187" s="304"/>
      <c r="Y187" s="304"/>
      <c r="Z187" s="304"/>
    </row>
    <row r="188" spans="1:26" x14ac:dyDescent="0.2">
      <c r="A188" s="304"/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4"/>
      <c r="O188" s="304"/>
      <c r="P188" s="304"/>
      <c r="Q188" s="304"/>
      <c r="R188" s="304"/>
      <c r="S188" s="304"/>
      <c r="T188" s="304"/>
      <c r="U188" s="304"/>
      <c r="V188" s="304"/>
      <c r="W188" s="304"/>
      <c r="X188" s="304"/>
      <c r="Y188" s="304"/>
      <c r="Z188" s="304"/>
    </row>
    <row r="189" spans="1:26" x14ac:dyDescent="0.2">
      <c r="A189" s="304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4"/>
      <c r="V189" s="304"/>
      <c r="W189" s="304"/>
      <c r="X189" s="304"/>
      <c r="Y189" s="304"/>
      <c r="Z189" s="304"/>
    </row>
    <row r="190" spans="1:26" x14ac:dyDescent="0.2">
      <c r="A190" s="304"/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4"/>
      <c r="V190" s="304"/>
      <c r="W190" s="304"/>
      <c r="X190" s="304"/>
      <c r="Y190" s="304"/>
      <c r="Z190" s="304"/>
    </row>
    <row r="191" spans="1:26" x14ac:dyDescent="0.2">
      <c r="A191" s="304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304"/>
      <c r="O191" s="304"/>
      <c r="P191" s="304"/>
      <c r="Q191" s="304"/>
      <c r="R191" s="304"/>
      <c r="S191" s="304"/>
      <c r="T191" s="304"/>
      <c r="U191" s="304"/>
      <c r="V191" s="304"/>
      <c r="W191" s="304"/>
      <c r="X191" s="304"/>
      <c r="Y191" s="304"/>
      <c r="Z191" s="304"/>
    </row>
    <row r="192" spans="1:26" x14ac:dyDescent="0.2">
      <c r="A192" s="304"/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304"/>
      <c r="O192" s="304"/>
      <c r="P192" s="304"/>
      <c r="Q192" s="304"/>
      <c r="R192" s="304"/>
      <c r="S192" s="304"/>
      <c r="T192" s="304"/>
      <c r="U192" s="304"/>
      <c r="V192" s="304"/>
      <c r="W192" s="304"/>
      <c r="X192" s="304"/>
      <c r="Y192" s="304"/>
      <c r="Z192" s="304"/>
    </row>
    <row r="193" spans="1:26" x14ac:dyDescent="0.2">
      <c r="A193" s="304"/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4"/>
      <c r="Y193" s="304"/>
      <c r="Z193" s="304"/>
    </row>
    <row r="194" spans="1:26" x14ac:dyDescent="0.2">
      <c r="A194" s="304"/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</row>
    <row r="195" spans="1:26" x14ac:dyDescent="0.2">
      <c r="A195" s="304"/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</row>
    <row r="196" spans="1:26" x14ac:dyDescent="0.2">
      <c r="A196" s="304"/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4"/>
      <c r="P196" s="304"/>
      <c r="Q196" s="304"/>
      <c r="R196" s="304"/>
      <c r="S196" s="304"/>
      <c r="T196" s="304"/>
      <c r="U196" s="304"/>
      <c r="V196" s="304"/>
      <c r="W196" s="304"/>
      <c r="X196" s="304"/>
      <c r="Y196" s="304"/>
      <c r="Z196" s="304"/>
    </row>
    <row r="197" spans="1:26" x14ac:dyDescent="0.2">
      <c r="A197" s="304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  <c r="R197" s="304"/>
      <c r="S197" s="304"/>
      <c r="T197" s="304"/>
      <c r="U197" s="304"/>
      <c r="V197" s="304"/>
      <c r="W197" s="304"/>
      <c r="X197" s="304"/>
      <c r="Y197" s="304"/>
      <c r="Z197" s="304"/>
    </row>
    <row r="198" spans="1:26" x14ac:dyDescent="0.2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  <c r="T198" s="304"/>
      <c r="U198" s="304"/>
      <c r="V198" s="304"/>
      <c r="W198" s="304"/>
      <c r="X198" s="304"/>
      <c r="Y198" s="304"/>
      <c r="Z198" s="304"/>
    </row>
    <row r="199" spans="1:26" x14ac:dyDescent="0.2">
      <c r="A199" s="304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</row>
    <row r="200" spans="1:26" x14ac:dyDescent="0.2">
      <c r="A200" s="304"/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/>
      <c r="T200" s="304"/>
      <c r="U200" s="304"/>
      <c r="V200" s="304"/>
      <c r="W200" s="304"/>
      <c r="X200" s="304"/>
      <c r="Y200" s="304"/>
      <c r="Z200" s="304"/>
    </row>
    <row r="201" spans="1:26" x14ac:dyDescent="0.2">
      <c r="A201" s="304"/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304"/>
      <c r="O201" s="304"/>
      <c r="P201" s="304"/>
      <c r="Q201" s="304"/>
      <c r="R201" s="304"/>
      <c r="S201" s="304"/>
      <c r="T201" s="304"/>
      <c r="U201" s="304"/>
      <c r="V201" s="304"/>
      <c r="W201" s="304"/>
      <c r="X201" s="304"/>
      <c r="Y201" s="304"/>
      <c r="Z201" s="304"/>
    </row>
    <row r="202" spans="1:26" x14ac:dyDescent="0.2">
      <c r="A202" s="304"/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</row>
    <row r="203" spans="1:26" x14ac:dyDescent="0.2">
      <c r="A203" s="304"/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</row>
    <row r="204" spans="1:26" x14ac:dyDescent="0.2">
      <c r="A204" s="304"/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</row>
    <row r="205" spans="1:26" x14ac:dyDescent="0.2">
      <c r="A205" s="304"/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</row>
    <row r="206" spans="1:26" x14ac:dyDescent="0.2">
      <c r="A206" s="304"/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</row>
    <row r="207" spans="1:26" x14ac:dyDescent="0.2">
      <c r="A207" s="304"/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</row>
    <row r="208" spans="1:26" x14ac:dyDescent="0.2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</row>
    <row r="209" spans="1:26" x14ac:dyDescent="0.2">
      <c r="A209" s="304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</row>
    <row r="210" spans="1:26" x14ac:dyDescent="0.2">
      <c r="A210" s="304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</row>
    <row r="211" spans="1:26" x14ac:dyDescent="0.2">
      <c r="A211" s="304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</row>
    <row r="212" spans="1:26" x14ac:dyDescent="0.2">
      <c r="A212" s="304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</row>
    <row r="213" spans="1:26" x14ac:dyDescent="0.2">
      <c r="A213" s="304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</row>
    <row r="214" spans="1:26" x14ac:dyDescent="0.2">
      <c r="A214" s="304"/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</row>
    <row r="215" spans="1:26" x14ac:dyDescent="0.2">
      <c r="A215" s="304"/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</row>
    <row r="216" spans="1:26" x14ac:dyDescent="0.2">
      <c r="A216" s="304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</row>
    <row r="217" spans="1:26" x14ac:dyDescent="0.2">
      <c r="A217" s="304"/>
      <c r="B217" s="304"/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</row>
    <row r="218" spans="1:26" x14ac:dyDescent="0.2">
      <c r="A218" s="304"/>
      <c r="B218" s="304"/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</row>
    <row r="219" spans="1:26" x14ac:dyDescent="0.2">
      <c r="A219" s="304"/>
      <c r="B219" s="304"/>
      <c r="C219" s="304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</row>
    <row r="220" spans="1:26" x14ac:dyDescent="0.2">
      <c r="A220" s="304"/>
      <c r="B220" s="304"/>
      <c r="C220" s="304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304"/>
    </row>
    <row r="221" spans="1:26" x14ac:dyDescent="0.2">
      <c r="A221" s="304"/>
      <c r="B221" s="304"/>
      <c r="C221" s="304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</row>
    <row r="222" spans="1:26" x14ac:dyDescent="0.2">
      <c r="A222" s="304"/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</row>
    <row r="223" spans="1:26" x14ac:dyDescent="0.2">
      <c r="A223" s="304"/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</row>
    <row r="224" spans="1:26" x14ac:dyDescent="0.2">
      <c r="A224" s="304"/>
      <c r="B224" s="304"/>
      <c r="C224" s="304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4"/>
      <c r="Z224" s="304"/>
    </row>
    <row r="225" spans="1:26" x14ac:dyDescent="0.2">
      <c r="A225" s="304"/>
      <c r="B225" s="304"/>
      <c r="C225" s="304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  <c r="O225" s="304"/>
      <c r="P225" s="304"/>
      <c r="Q225" s="304"/>
      <c r="R225" s="304"/>
      <c r="S225" s="304"/>
      <c r="T225" s="304"/>
      <c r="U225" s="304"/>
      <c r="V225" s="304"/>
      <c r="W225" s="304"/>
      <c r="X225" s="304"/>
      <c r="Y225" s="304"/>
      <c r="Z225" s="304"/>
    </row>
    <row r="226" spans="1:26" x14ac:dyDescent="0.2">
      <c r="A226" s="304"/>
      <c r="B226" s="304"/>
      <c r="C226" s="304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304"/>
    </row>
    <row r="227" spans="1:26" x14ac:dyDescent="0.2">
      <c r="A227" s="304"/>
      <c r="B227" s="304"/>
      <c r="C227" s="304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</row>
    <row r="228" spans="1:26" x14ac:dyDescent="0.2">
      <c r="A228" s="304"/>
      <c r="B228" s="304"/>
      <c r="C228" s="304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</row>
    <row r="229" spans="1:26" x14ac:dyDescent="0.2">
      <c r="A229" s="304"/>
      <c r="B229" s="304"/>
      <c r="C229" s="30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</row>
    <row r="230" spans="1:26" x14ac:dyDescent="0.2">
      <c r="A230" s="304"/>
      <c r="B230" s="304"/>
      <c r="C230" s="30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</row>
    <row r="231" spans="1:26" x14ac:dyDescent="0.2">
      <c r="A231" s="304"/>
      <c r="B231" s="304"/>
      <c r="C231" s="30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</row>
    <row r="232" spans="1:26" x14ac:dyDescent="0.2">
      <c r="A232" s="304"/>
      <c r="B232" s="304"/>
      <c r="C232" s="304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304"/>
    </row>
    <row r="233" spans="1:26" x14ac:dyDescent="0.2">
      <c r="A233" s="304"/>
      <c r="B233" s="304"/>
      <c r="C233" s="304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  <c r="N233" s="304"/>
      <c r="O233" s="304"/>
      <c r="P233" s="304"/>
      <c r="Q233" s="304"/>
      <c r="R233" s="304"/>
      <c r="S233" s="304"/>
      <c r="T233" s="304"/>
      <c r="U233" s="304"/>
      <c r="V233" s="304"/>
      <c r="W233" s="304"/>
      <c r="X233" s="304"/>
      <c r="Y233" s="304"/>
      <c r="Z233" s="304"/>
    </row>
    <row r="234" spans="1:26" x14ac:dyDescent="0.2">
      <c r="A234" s="304"/>
      <c r="B234" s="304"/>
      <c r="C234" s="304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  <c r="O234" s="304"/>
      <c r="P234" s="304"/>
      <c r="Q234" s="304"/>
      <c r="R234" s="304"/>
      <c r="S234" s="304"/>
      <c r="T234" s="304"/>
      <c r="U234" s="304"/>
      <c r="V234" s="304"/>
      <c r="W234" s="304"/>
      <c r="X234" s="304"/>
      <c r="Y234" s="304"/>
      <c r="Z234" s="304"/>
    </row>
    <row r="235" spans="1:26" x14ac:dyDescent="0.2">
      <c r="A235" s="304"/>
      <c r="B235" s="304"/>
      <c r="C235" s="304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  <c r="O235" s="304"/>
      <c r="P235" s="304"/>
      <c r="Q235" s="304"/>
      <c r="R235" s="304"/>
      <c r="S235" s="304"/>
      <c r="T235" s="304"/>
      <c r="U235" s="304"/>
      <c r="V235" s="304"/>
      <c r="W235" s="304"/>
      <c r="X235" s="304"/>
      <c r="Y235" s="304"/>
      <c r="Z235" s="304"/>
    </row>
    <row r="236" spans="1:26" x14ac:dyDescent="0.2">
      <c r="A236" s="304"/>
      <c r="B236" s="304"/>
      <c r="C236" s="304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  <c r="O236" s="304"/>
      <c r="P236" s="304"/>
      <c r="Q236" s="304"/>
      <c r="R236" s="304"/>
      <c r="S236" s="304"/>
      <c r="T236" s="304"/>
      <c r="U236" s="304"/>
      <c r="V236" s="304"/>
      <c r="W236" s="304"/>
      <c r="X236" s="304"/>
      <c r="Y236" s="304"/>
      <c r="Z236" s="304"/>
    </row>
    <row r="237" spans="1:26" x14ac:dyDescent="0.2">
      <c r="A237" s="304"/>
      <c r="B237" s="304"/>
      <c r="C237" s="304"/>
      <c r="D237" s="304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  <c r="O237" s="304"/>
      <c r="P237" s="304"/>
      <c r="Q237" s="304"/>
      <c r="R237" s="304"/>
      <c r="S237" s="304"/>
      <c r="T237" s="304"/>
      <c r="U237" s="304"/>
      <c r="V237" s="304"/>
      <c r="W237" s="304"/>
      <c r="X237" s="304"/>
      <c r="Y237" s="304"/>
      <c r="Z237" s="304"/>
    </row>
    <row r="238" spans="1:26" x14ac:dyDescent="0.2">
      <c r="A238" s="304"/>
      <c r="B238" s="304"/>
      <c r="C238" s="304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  <c r="O238" s="304"/>
      <c r="P238" s="304"/>
      <c r="Q238" s="304"/>
      <c r="R238" s="304"/>
      <c r="S238" s="304"/>
      <c r="T238" s="304"/>
      <c r="U238" s="304"/>
      <c r="V238" s="304"/>
      <c r="W238" s="304"/>
      <c r="X238" s="304"/>
      <c r="Y238" s="304"/>
      <c r="Z238" s="304"/>
    </row>
    <row r="239" spans="1:26" x14ac:dyDescent="0.2">
      <c r="A239" s="304"/>
      <c r="B239" s="304"/>
      <c r="C239" s="304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  <c r="O239" s="304"/>
      <c r="P239" s="304"/>
      <c r="Q239" s="304"/>
      <c r="R239" s="304"/>
      <c r="S239" s="304"/>
      <c r="T239" s="304"/>
      <c r="U239" s="304"/>
      <c r="V239" s="304"/>
      <c r="W239" s="304"/>
      <c r="X239" s="304"/>
      <c r="Y239" s="304"/>
      <c r="Z239" s="304"/>
    </row>
    <row r="240" spans="1:26" x14ac:dyDescent="0.2">
      <c r="A240" s="304"/>
      <c r="B240" s="304"/>
      <c r="C240" s="304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04"/>
      <c r="Z240" s="304"/>
    </row>
    <row r="241" spans="1:26" x14ac:dyDescent="0.2">
      <c r="A241" s="304"/>
      <c r="B241" s="304"/>
      <c r="C241" s="304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</row>
    <row r="242" spans="1:26" x14ac:dyDescent="0.2">
      <c r="A242" s="304"/>
      <c r="B242" s="304"/>
      <c r="C242" s="304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  <c r="O242" s="304"/>
      <c r="P242" s="304"/>
      <c r="Q242" s="304"/>
      <c r="R242" s="304"/>
      <c r="S242" s="304"/>
      <c r="T242" s="304"/>
      <c r="U242" s="304"/>
      <c r="V242" s="304"/>
      <c r="W242" s="304"/>
      <c r="X242" s="304"/>
      <c r="Y242" s="304"/>
      <c r="Z242" s="304"/>
    </row>
    <row r="243" spans="1:26" x14ac:dyDescent="0.2">
      <c r="A243" s="304"/>
      <c r="B243" s="304"/>
      <c r="C243" s="304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4"/>
      <c r="Y243" s="304"/>
      <c r="Z243" s="304"/>
    </row>
    <row r="244" spans="1:26" x14ac:dyDescent="0.2">
      <c r="A244" s="304"/>
      <c r="B244" s="304"/>
      <c r="C244" s="304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  <c r="O244" s="304"/>
      <c r="P244" s="304"/>
      <c r="Q244" s="304"/>
      <c r="R244" s="304"/>
      <c r="S244" s="304"/>
      <c r="T244" s="304"/>
      <c r="U244" s="304"/>
      <c r="V244" s="304"/>
      <c r="W244" s="304"/>
      <c r="X244" s="304"/>
      <c r="Y244" s="304"/>
      <c r="Z244" s="304"/>
    </row>
    <row r="245" spans="1:26" x14ac:dyDescent="0.2">
      <c r="A245" s="304"/>
      <c r="B245" s="304"/>
      <c r="C245" s="304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  <c r="O245" s="304"/>
      <c r="P245" s="304"/>
      <c r="Q245" s="304"/>
      <c r="R245" s="304"/>
      <c r="S245" s="304"/>
      <c r="T245" s="304"/>
      <c r="U245" s="304"/>
      <c r="V245" s="304"/>
      <c r="W245" s="304"/>
      <c r="X245" s="304"/>
      <c r="Y245" s="304"/>
      <c r="Z245" s="304"/>
    </row>
    <row r="246" spans="1:26" x14ac:dyDescent="0.2">
      <c r="A246" s="304"/>
      <c r="B246" s="304"/>
      <c r="C246" s="304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  <c r="O246" s="304"/>
      <c r="P246" s="304"/>
      <c r="Q246" s="304"/>
      <c r="R246" s="304"/>
      <c r="S246" s="304"/>
      <c r="T246" s="304"/>
      <c r="U246" s="304"/>
      <c r="V246" s="304"/>
      <c r="W246" s="304"/>
      <c r="X246" s="304"/>
      <c r="Y246" s="304"/>
      <c r="Z246" s="304"/>
    </row>
    <row r="247" spans="1:26" x14ac:dyDescent="0.2">
      <c r="A247" s="304"/>
      <c r="B247" s="304"/>
      <c r="C247" s="304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  <c r="O247" s="304"/>
      <c r="P247" s="304"/>
      <c r="Q247" s="304"/>
      <c r="R247" s="304"/>
      <c r="S247" s="304"/>
      <c r="T247" s="304"/>
      <c r="U247" s="304"/>
      <c r="V247" s="304"/>
      <c r="W247" s="304"/>
      <c r="X247" s="304"/>
      <c r="Y247" s="304"/>
      <c r="Z247" s="304"/>
    </row>
    <row r="248" spans="1:26" x14ac:dyDescent="0.2">
      <c r="A248" s="304"/>
      <c r="B248" s="304"/>
      <c r="C248" s="304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T248" s="304"/>
      <c r="U248" s="304"/>
      <c r="V248" s="304"/>
      <c r="W248" s="304"/>
      <c r="X248" s="304"/>
      <c r="Y248" s="304"/>
      <c r="Z248" s="304"/>
    </row>
    <row r="249" spans="1:26" x14ac:dyDescent="0.2">
      <c r="A249" s="304"/>
      <c r="B249" s="304"/>
      <c r="C249" s="304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  <c r="O249" s="304"/>
      <c r="P249" s="304"/>
      <c r="Q249" s="304"/>
      <c r="R249" s="304"/>
      <c r="S249" s="304"/>
      <c r="T249" s="304"/>
      <c r="U249" s="304"/>
      <c r="V249" s="304"/>
      <c r="W249" s="304"/>
      <c r="X249" s="304"/>
      <c r="Y249" s="304"/>
      <c r="Z249" s="304"/>
    </row>
    <row r="250" spans="1:26" x14ac:dyDescent="0.2">
      <c r="A250" s="304"/>
      <c r="B250" s="304"/>
      <c r="C250" s="304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  <c r="O250" s="304"/>
      <c r="P250" s="304"/>
      <c r="Q250" s="304"/>
      <c r="R250" s="304"/>
      <c r="S250" s="304"/>
      <c r="T250" s="304"/>
      <c r="U250" s="304"/>
      <c r="V250" s="304"/>
      <c r="W250" s="304"/>
      <c r="X250" s="304"/>
      <c r="Y250" s="304"/>
      <c r="Z250" s="304"/>
    </row>
    <row r="251" spans="1:26" x14ac:dyDescent="0.2">
      <c r="A251" s="304"/>
      <c r="B251" s="304"/>
      <c r="C251" s="304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  <c r="Y251" s="304"/>
      <c r="Z251" s="304"/>
    </row>
    <row r="252" spans="1:26" x14ac:dyDescent="0.2">
      <c r="A252" s="304"/>
      <c r="B252" s="304"/>
      <c r="C252" s="304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</row>
    <row r="253" spans="1:26" x14ac:dyDescent="0.2">
      <c r="A253" s="304"/>
      <c r="B253" s="304"/>
      <c r="C253" s="304"/>
      <c r="D253" s="304"/>
      <c r="E253" s="304"/>
      <c r="F253" s="304"/>
      <c r="G253" s="304"/>
      <c r="H253" s="304"/>
      <c r="I253" s="304"/>
      <c r="J253" s="304"/>
      <c r="K253" s="304"/>
      <c r="L253" s="304"/>
      <c r="M253" s="304"/>
      <c r="N253" s="304"/>
      <c r="O253" s="304"/>
      <c r="P253" s="304"/>
      <c r="Q253" s="304"/>
      <c r="R253" s="304"/>
      <c r="S253" s="304"/>
      <c r="T253" s="304"/>
      <c r="U253" s="304"/>
      <c r="V253" s="304"/>
      <c r="W253" s="304"/>
      <c r="X253" s="304"/>
      <c r="Y253" s="304"/>
      <c r="Z253" s="304"/>
    </row>
    <row r="254" spans="1:26" x14ac:dyDescent="0.2">
      <c r="A254" s="304"/>
      <c r="B254" s="304"/>
      <c r="C254" s="304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</row>
    <row r="255" spans="1:26" x14ac:dyDescent="0.2">
      <c r="A255" s="304"/>
      <c r="B255" s="304"/>
      <c r="C255" s="304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  <c r="O255" s="304"/>
      <c r="P255" s="304"/>
      <c r="Q255" s="304"/>
      <c r="R255" s="304"/>
      <c r="S255" s="304"/>
      <c r="T255" s="304"/>
      <c r="U255" s="304"/>
      <c r="V255" s="304"/>
      <c r="W255" s="304"/>
      <c r="X255" s="304"/>
      <c r="Y255" s="304"/>
      <c r="Z255" s="304"/>
    </row>
    <row r="256" spans="1:26" x14ac:dyDescent="0.2">
      <c r="A256" s="304"/>
      <c r="B256" s="304"/>
      <c r="C256" s="304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  <c r="O256" s="304"/>
      <c r="P256" s="304"/>
      <c r="Q256" s="304"/>
      <c r="R256" s="304"/>
      <c r="S256" s="304"/>
      <c r="T256" s="304"/>
      <c r="U256" s="304"/>
      <c r="V256" s="304"/>
      <c r="W256" s="304"/>
      <c r="X256" s="304"/>
      <c r="Y256" s="304"/>
      <c r="Z256" s="304"/>
    </row>
    <row r="257" spans="1:26" x14ac:dyDescent="0.2">
      <c r="A257" s="304"/>
      <c r="B257" s="304"/>
      <c r="C257" s="304"/>
      <c r="D257" s="304"/>
      <c r="E257" s="304"/>
      <c r="F257" s="304"/>
      <c r="G257" s="304"/>
      <c r="H257" s="304"/>
      <c r="I257" s="304"/>
      <c r="J257" s="304"/>
      <c r="K257" s="304"/>
      <c r="L257" s="304"/>
      <c r="M257" s="304"/>
      <c r="N257" s="304"/>
      <c r="O257" s="304"/>
      <c r="P257" s="304"/>
      <c r="Q257" s="304"/>
      <c r="R257" s="304"/>
      <c r="S257" s="304"/>
      <c r="T257" s="304"/>
      <c r="U257" s="304"/>
      <c r="V257" s="304"/>
      <c r="W257" s="304"/>
      <c r="X257" s="304"/>
      <c r="Y257" s="304"/>
      <c r="Z257" s="304"/>
    </row>
    <row r="258" spans="1:26" x14ac:dyDescent="0.2">
      <c r="A258" s="304"/>
      <c r="B258" s="304"/>
      <c r="C258" s="304"/>
      <c r="D258" s="304"/>
      <c r="E258" s="304"/>
      <c r="F258" s="304"/>
      <c r="G258" s="304"/>
      <c r="H258" s="304"/>
      <c r="I258" s="304"/>
      <c r="J258" s="304"/>
      <c r="K258" s="304"/>
      <c r="L258" s="304"/>
      <c r="M258" s="304"/>
      <c r="N258" s="304"/>
      <c r="O258" s="304"/>
      <c r="P258" s="304"/>
      <c r="Q258" s="304"/>
      <c r="R258" s="304"/>
      <c r="S258" s="304"/>
      <c r="T258" s="304"/>
      <c r="U258" s="304"/>
      <c r="V258" s="304"/>
      <c r="W258" s="304"/>
      <c r="X258" s="304"/>
      <c r="Y258" s="304"/>
      <c r="Z258" s="304"/>
    </row>
    <row r="259" spans="1:26" x14ac:dyDescent="0.2">
      <c r="A259" s="304"/>
      <c r="B259" s="304"/>
      <c r="C259" s="304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04"/>
      <c r="Z259" s="304"/>
    </row>
    <row r="260" spans="1:26" x14ac:dyDescent="0.2">
      <c r="A260" s="304"/>
      <c r="B260" s="304"/>
      <c r="C260" s="304"/>
      <c r="D260" s="304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  <c r="O260" s="304"/>
      <c r="P260" s="304"/>
      <c r="Q260" s="304"/>
      <c r="R260" s="304"/>
      <c r="S260" s="304"/>
      <c r="T260" s="304"/>
      <c r="U260" s="304"/>
      <c r="V260" s="304"/>
      <c r="W260" s="304"/>
      <c r="X260" s="304"/>
      <c r="Y260" s="304"/>
      <c r="Z260" s="304"/>
    </row>
    <row r="261" spans="1:26" x14ac:dyDescent="0.2">
      <c r="A261" s="304"/>
      <c r="B261" s="304"/>
      <c r="C261" s="304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  <c r="O261" s="304"/>
      <c r="P261" s="304"/>
      <c r="Q261" s="304"/>
      <c r="R261" s="304"/>
      <c r="S261" s="304"/>
      <c r="T261" s="304"/>
      <c r="U261" s="304"/>
      <c r="V261" s="304"/>
      <c r="W261" s="304"/>
      <c r="X261" s="304"/>
      <c r="Y261" s="304"/>
      <c r="Z261" s="304"/>
    </row>
    <row r="262" spans="1:26" x14ac:dyDescent="0.2">
      <c r="A262" s="304"/>
      <c r="B262" s="304"/>
      <c r="C262" s="304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</row>
    <row r="263" spans="1:26" x14ac:dyDescent="0.2">
      <c r="A263" s="304"/>
      <c r="B263" s="304"/>
      <c r="C263" s="304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04"/>
      <c r="Z263" s="304"/>
    </row>
    <row r="264" spans="1:26" x14ac:dyDescent="0.2">
      <c r="A264" s="304"/>
      <c r="B264" s="304"/>
      <c r="C264" s="304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  <c r="O264" s="304"/>
      <c r="P264" s="304"/>
      <c r="Q264" s="304"/>
      <c r="R264" s="304"/>
      <c r="S264" s="304"/>
      <c r="T264" s="304"/>
      <c r="U264" s="304"/>
      <c r="V264" s="304"/>
      <c r="W264" s="304"/>
      <c r="X264" s="304"/>
      <c r="Y264" s="304"/>
      <c r="Z264" s="304"/>
    </row>
    <row r="265" spans="1:26" x14ac:dyDescent="0.2">
      <c r="A265" s="304"/>
      <c r="B265" s="304"/>
      <c r="C265" s="304"/>
      <c r="D265" s="304"/>
      <c r="E265" s="304"/>
      <c r="F265" s="304"/>
      <c r="G265" s="304"/>
      <c r="H265" s="304"/>
      <c r="I265" s="304"/>
      <c r="J265" s="304"/>
      <c r="K265" s="304"/>
      <c r="L265" s="304"/>
      <c r="M265" s="304"/>
      <c r="N265" s="304"/>
      <c r="O265" s="304"/>
      <c r="P265" s="304"/>
      <c r="Q265" s="304"/>
      <c r="R265" s="304"/>
      <c r="S265" s="304"/>
      <c r="T265" s="304"/>
      <c r="U265" s="304"/>
      <c r="V265" s="304"/>
      <c r="W265" s="304"/>
      <c r="X265" s="304"/>
      <c r="Y265" s="304"/>
      <c r="Z265" s="304"/>
    </row>
    <row r="266" spans="1:26" x14ac:dyDescent="0.2">
      <c r="A266" s="304"/>
      <c r="B266" s="304"/>
      <c r="C266" s="304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  <c r="N266" s="304"/>
      <c r="O266" s="304"/>
      <c r="P266" s="304"/>
      <c r="Q266" s="304"/>
      <c r="R266" s="304"/>
      <c r="S266" s="304"/>
      <c r="T266" s="304"/>
      <c r="U266" s="304"/>
      <c r="V266" s="304"/>
      <c r="W266" s="304"/>
      <c r="X266" s="304"/>
      <c r="Y266" s="304"/>
      <c r="Z266" s="304"/>
    </row>
    <row r="267" spans="1:26" x14ac:dyDescent="0.2">
      <c r="A267" s="304"/>
      <c r="B267" s="304"/>
      <c r="C267" s="304"/>
      <c r="D267" s="304"/>
      <c r="E267" s="304"/>
      <c r="F267" s="304"/>
      <c r="G267" s="304"/>
      <c r="H267" s="304"/>
      <c r="I267" s="304"/>
      <c r="J267" s="304"/>
      <c r="K267" s="304"/>
      <c r="L267" s="304"/>
      <c r="M267" s="304"/>
      <c r="N267" s="304"/>
      <c r="O267" s="304"/>
      <c r="P267" s="304"/>
      <c r="Q267" s="304"/>
      <c r="R267" s="304"/>
      <c r="S267" s="304"/>
      <c r="T267" s="304"/>
      <c r="U267" s="304"/>
      <c r="V267" s="304"/>
      <c r="W267" s="304"/>
      <c r="X267" s="304"/>
      <c r="Y267" s="304"/>
      <c r="Z267" s="304"/>
    </row>
    <row r="268" spans="1:26" x14ac:dyDescent="0.2">
      <c r="A268" s="304"/>
      <c r="B268" s="304"/>
      <c r="C268" s="304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  <c r="O268" s="304"/>
      <c r="P268" s="304"/>
      <c r="Q268" s="304"/>
      <c r="R268" s="304"/>
      <c r="S268" s="304"/>
      <c r="T268" s="304"/>
      <c r="U268" s="304"/>
      <c r="V268" s="304"/>
      <c r="W268" s="304"/>
      <c r="X268" s="304"/>
      <c r="Y268" s="304"/>
      <c r="Z268" s="304"/>
    </row>
    <row r="269" spans="1:26" x14ac:dyDescent="0.2">
      <c r="A269" s="304"/>
      <c r="B269" s="304"/>
      <c r="C269" s="304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  <c r="O269" s="304"/>
      <c r="P269" s="304"/>
      <c r="Q269" s="304"/>
      <c r="R269" s="304"/>
      <c r="S269" s="304"/>
      <c r="T269" s="304"/>
      <c r="U269" s="304"/>
      <c r="V269" s="304"/>
      <c r="W269" s="304"/>
      <c r="X269" s="304"/>
      <c r="Y269" s="304"/>
      <c r="Z269" s="304"/>
    </row>
    <row r="270" spans="1:26" x14ac:dyDescent="0.2">
      <c r="A270" s="304"/>
      <c r="B270" s="304"/>
      <c r="C270" s="304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04"/>
      <c r="R270" s="304"/>
      <c r="S270" s="304"/>
      <c r="T270" s="304"/>
      <c r="U270" s="304"/>
      <c r="V270" s="304"/>
      <c r="W270" s="304"/>
      <c r="X270" s="304"/>
      <c r="Y270" s="304"/>
      <c r="Z270" s="304"/>
    </row>
    <row r="271" spans="1:26" x14ac:dyDescent="0.2">
      <c r="A271" s="304"/>
      <c r="B271" s="304"/>
      <c r="C271" s="304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  <c r="O271" s="304"/>
      <c r="P271" s="304"/>
      <c r="Q271" s="304"/>
      <c r="R271" s="304"/>
      <c r="S271" s="304"/>
      <c r="T271" s="304"/>
      <c r="U271" s="304"/>
      <c r="V271" s="304"/>
      <c r="W271" s="304"/>
      <c r="X271" s="304"/>
      <c r="Y271" s="304"/>
      <c r="Z271" s="304"/>
    </row>
    <row r="272" spans="1:26" x14ac:dyDescent="0.2">
      <c r="A272" s="304"/>
      <c r="B272" s="304"/>
      <c r="C272" s="304"/>
      <c r="D272" s="304"/>
      <c r="E272" s="304"/>
      <c r="F272" s="304"/>
      <c r="G272" s="304"/>
      <c r="H272" s="304"/>
      <c r="I272" s="304"/>
      <c r="J272" s="304"/>
      <c r="K272" s="304"/>
      <c r="L272" s="304"/>
      <c r="M272" s="304"/>
      <c r="N272" s="304"/>
      <c r="O272" s="304"/>
      <c r="P272" s="304"/>
      <c r="Q272" s="304"/>
      <c r="R272" s="304"/>
      <c r="S272" s="304"/>
      <c r="T272" s="304"/>
      <c r="U272" s="304"/>
      <c r="V272" s="304"/>
      <c r="W272" s="304"/>
      <c r="X272" s="304"/>
      <c r="Y272" s="304"/>
      <c r="Z272" s="304"/>
    </row>
    <row r="273" spans="1:26" x14ac:dyDescent="0.2">
      <c r="A273" s="304"/>
      <c r="B273" s="304"/>
      <c r="C273" s="304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  <c r="T273" s="304"/>
      <c r="U273" s="304"/>
      <c r="V273" s="304"/>
      <c r="W273" s="304"/>
      <c r="X273" s="304"/>
      <c r="Y273" s="304"/>
      <c r="Z273" s="304"/>
    </row>
    <row r="274" spans="1:26" x14ac:dyDescent="0.2">
      <c r="A274" s="304"/>
      <c r="B274" s="304"/>
      <c r="C274" s="304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  <c r="T274" s="304"/>
      <c r="U274" s="304"/>
      <c r="V274" s="304"/>
      <c r="W274" s="304"/>
      <c r="X274" s="304"/>
      <c r="Y274" s="304"/>
      <c r="Z274" s="304"/>
    </row>
    <row r="275" spans="1:26" x14ac:dyDescent="0.2">
      <c r="A275" s="304"/>
      <c r="B275" s="304"/>
      <c r="C275" s="30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4"/>
      <c r="U275" s="304"/>
      <c r="V275" s="304"/>
      <c r="W275" s="304"/>
      <c r="X275" s="304"/>
      <c r="Y275" s="304"/>
      <c r="Z275" s="304"/>
    </row>
    <row r="276" spans="1:26" x14ac:dyDescent="0.2">
      <c r="A276" s="304"/>
      <c r="B276" s="304"/>
      <c r="C276" s="304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4"/>
      <c r="U276" s="304"/>
      <c r="V276" s="304"/>
      <c r="W276" s="304"/>
      <c r="X276" s="304"/>
      <c r="Y276" s="304"/>
      <c r="Z276" s="304"/>
    </row>
    <row r="277" spans="1:26" x14ac:dyDescent="0.2">
      <c r="A277" s="304"/>
      <c r="B277" s="304"/>
      <c r="C277" s="304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04"/>
      <c r="R277" s="304"/>
      <c r="S277" s="304"/>
      <c r="T277" s="304"/>
      <c r="U277" s="304"/>
      <c r="V277" s="304"/>
      <c r="W277" s="304"/>
      <c r="X277" s="304"/>
      <c r="Y277" s="304"/>
      <c r="Z277" s="304"/>
    </row>
    <row r="278" spans="1:26" x14ac:dyDescent="0.2">
      <c r="A278" s="304"/>
      <c r="B278" s="304"/>
      <c r="C278" s="304"/>
      <c r="D278" s="304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4"/>
      <c r="U278" s="304"/>
      <c r="V278" s="304"/>
      <c r="W278" s="304"/>
      <c r="X278" s="304"/>
      <c r="Y278" s="304"/>
      <c r="Z278" s="304"/>
    </row>
    <row r="279" spans="1:26" x14ac:dyDescent="0.2">
      <c r="A279" s="304"/>
      <c r="B279" s="304"/>
      <c r="C279" s="304"/>
      <c r="D279" s="304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  <c r="O279" s="304"/>
      <c r="P279" s="304"/>
      <c r="Q279" s="304"/>
      <c r="R279" s="304"/>
      <c r="S279" s="304"/>
      <c r="T279" s="304"/>
      <c r="U279" s="304"/>
      <c r="V279" s="304"/>
      <c r="W279" s="304"/>
      <c r="X279" s="304"/>
      <c r="Y279" s="304"/>
      <c r="Z279" s="304"/>
    </row>
    <row r="280" spans="1:26" x14ac:dyDescent="0.2">
      <c r="A280" s="304"/>
      <c r="B280" s="304"/>
      <c r="C280" s="304"/>
      <c r="D280" s="304"/>
      <c r="E280" s="304"/>
      <c r="F280" s="304"/>
      <c r="G280" s="304"/>
      <c r="H280" s="304"/>
      <c r="I280" s="304"/>
      <c r="J280" s="304"/>
      <c r="K280" s="304"/>
      <c r="L280" s="304"/>
      <c r="M280" s="304"/>
      <c r="N280" s="304"/>
      <c r="O280" s="304"/>
      <c r="P280" s="304"/>
      <c r="Q280" s="304"/>
      <c r="R280" s="304"/>
      <c r="S280" s="304"/>
      <c r="T280" s="304"/>
      <c r="U280" s="304"/>
      <c r="V280" s="304"/>
      <c r="W280" s="304"/>
      <c r="X280" s="304"/>
      <c r="Y280" s="304"/>
      <c r="Z280" s="304"/>
    </row>
    <row r="281" spans="1:26" x14ac:dyDescent="0.2">
      <c r="A281" s="304"/>
      <c r="B281" s="304"/>
      <c r="C281" s="304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304"/>
      <c r="O281" s="304"/>
      <c r="P281" s="304"/>
      <c r="Q281" s="304"/>
      <c r="R281" s="304"/>
      <c r="S281" s="304"/>
      <c r="T281" s="304"/>
      <c r="U281" s="304"/>
      <c r="V281" s="304"/>
      <c r="W281" s="304"/>
      <c r="X281" s="304"/>
      <c r="Y281" s="304"/>
      <c r="Z281" s="304"/>
    </row>
    <row r="282" spans="1:26" x14ac:dyDescent="0.2">
      <c r="A282" s="304"/>
      <c r="B282" s="304"/>
      <c r="C282" s="304"/>
      <c r="D282" s="304"/>
      <c r="E282" s="304"/>
      <c r="F282" s="304"/>
      <c r="G282" s="304"/>
      <c r="H282" s="304"/>
      <c r="I282" s="304"/>
      <c r="J282" s="304"/>
      <c r="K282" s="304"/>
      <c r="L282" s="304"/>
      <c r="M282" s="304"/>
      <c r="N282" s="304"/>
      <c r="O282" s="304"/>
      <c r="P282" s="304"/>
      <c r="Q282" s="304"/>
      <c r="R282" s="304"/>
      <c r="S282" s="304"/>
      <c r="T282" s="304"/>
      <c r="U282" s="304"/>
      <c r="V282" s="304"/>
      <c r="W282" s="304"/>
      <c r="X282" s="304"/>
      <c r="Y282" s="304"/>
      <c r="Z282" s="304"/>
    </row>
    <row r="283" spans="1:26" x14ac:dyDescent="0.2">
      <c r="A283" s="304"/>
      <c r="B283" s="304"/>
      <c r="C283" s="304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  <c r="N283" s="304"/>
      <c r="O283" s="304"/>
      <c r="P283" s="304"/>
      <c r="Q283" s="304"/>
      <c r="R283" s="304"/>
      <c r="S283" s="304"/>
      <c r="T283" s="304"/>
      <c r="U283" s="304"/>
      <c r="V283" s="304"/>
      <c r="W283" s="304"/>
      <c r="X283" s="304"/>
      <c r="Y283" s="304"/>
      <c r="Z283" s="304"/>
    </row>
    <row r="284" spans="1:26" x14ac:dyDescent="0.2">
      <c r="A284" s="304"/>
      <c r="B284" s="304"/>
      <c r="C284" s="304"/>
      <c r="D284" s="304"/>
      <c r="E284" s="304"/>
      <c r="F284" s="304"/>
      <c r="G284" s="304"/>
      <c r="H284" s="304"/>
      <c r="I284" s="304"/>
      <c r="J284" s="304"/>
      <c r="K284" s="304"/>
      <c r="L284" s="304"/>
      <c r="M284" s="304"/>
      <c r="N284" s="304"/>
      <c r="O284" s="304"/>
      <c r="P284" s="304"/>
      <c r="Q284" s="304"/>
      <c r="R284" s="304"/>
      <c r="S284" s="304"/>
      <c r="T284" s="304"/>
      <c r="U284" s="304"/>
      <c r="V284" s="304"/>
      <c r="W284" s="304"/>
      <c r="X284" s="304"/>
      <c r="Y284" s="304"/>
      <c r="Z284" s="304"/>
    </row>
    <row r="285" spans="1:26" x14ac:dyDescent="0.2">
      <c r="A285" s="304"/>
      <c r="B285" s="304"/>
      <c r="C285" s="304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  <c r="O285" s="304"/>
      <c r="P285" s="304"/>
      <c r="Q285" s="304"/>
      <c r="R285" s="304"/>
      <c r="S285" s="304"/>
      <c r="T285" s="304"/>
      <c r="U285" s="304"/>
      <c r="V285" s="304"/>
      <c r="W285" s="304"/>
      <c r="X285" s="304"/>
      <c r="Y285" s="304"/>
      <c r="Z285" s="304"/>
    </row>
    <row r="286" spans="1:26" x14ac:dyDescent="0.2">
      <c r="A286" s="304"/>
      <c r="B286" s="304"/>
      <c r="C286" s="304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  <c r="Y286" s="304"/>
      <c r="Z286" s="304"/>
    </row>
    <row r="287" spans="1:26" x14ac:dyDescent="0.2">
      <c r="A287" s="304"/>
      <c r="B287" s="304"/>
      <c r="C287" s="304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  <c r="O287" s="304"/>
      <c r="P287" s="304"/>
      <c r="Q287" s="304"/>
      <c r="R287" s="304"/>
      <c r="S287" s="304"/>
      <c r="T287" s="304"/>
      <c r="U287" s="304"/>
      <c r="V287" s="304"/>
      <c r="W287" s="304"/>
      <c r="X287" s="304"/>
      <c r="Y287" s="304"/>
      <c r="Z287" s="304"/>
    </row>
    <row r="288" spans="1:26" x14ac:dyDescent="0.2">
      <c r="A288" s="304"/>
      <c r="B288" s="304"/>
      <c r="C288" s="304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  <c r="O288" s="304"/>
      <c r="P288" s="304"/>
      <c r="Q288" s="304"/>
      <c r="R288" s="304"/>
      <c r="S288" s="304"/>
      <c r="T288" s="304"/>
      <c r="U288" s="304"/>
      <c r="V288" s="304"/>
      <c r="W288" s="304"/>
      <c r="X288" s="304"/>
      <c r="Y288" s="304"/>
      <c r="Z288" s="304"/>
    </row>
    <row r="289" spans="1:26" x14ac:dyDescent="0.2">
      <c r="A289" s="304"/>
      <c r="B289" s="304"/>
      <c r="C289" s="304"/>
      <c r="D289" s="304"/>
      <c r="E289" s="304"/>
      <c r="F289" s="304"/>
      <c r="G289" s="304"/>
      <c r="H289" s="304"/>
      <c r="I289" s="304"/>
      <c r="J289" s="304"/>
      <c r="K289" s="304"/>
      <c r="L289" s="304"/>
      <c r="M289" s="304"/>
      <c r="N289" s="304"/>
      <c r="O289" s="304"/>
      <c r="P289" s="304"/>
      <c r="Q289" s="304"/>
      <c r="R289" s="304"/>
      <c r="S289" s="304"/>
      <c r="T289" s="304"/>
      <c r="U289" s="304"/>
      <c r="V289" s="304"/>
      <c r="W289" s="304"/>
      <c r="X289" s="304"/>
      <c r="Y289" s="304"/>
      <c r="Z289" s="304"/>
    </row>
    <row r="290" spans="1:26" x14ac:dyDescent="0.2">
      <c r="A290" s="304"/>
      <c r="B290" s="304"/>
      <c r="C290" s="304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304"/>
      <c r="O290" s="304"/>
      <c r="P290" s="304"/>
      <c r="Q290" s="304"/>
      <c r="R290" s="304"/>
      <c r="S290" s="304"/>
      <c r="T290" s="304"/>
      <c r="U290" s="304"/>
      <c r="V290" s="304"/>
      <c r="W290" s="304"/>
      <c r="X290" s="304"/>
      <c r="Y290" s="304"/>
      <c r="Z290" s="304"/>
    </row>
    <row r="291" spans="1:26" x14ac:dyDescent="0.2">
      <c r="A291" s="304"/>
      <c r="B291" s="304"/>
      <c r="C291" s="304"/>
      <c r="D291" s="304"/>
      <c r="E291" s="304"/>
      <c r="F291" s="304"/>
      <c r="G291" s="304"/>
      <c r="H291" s="304"/>
      <c r="I291" s="304"/>
      <c r="J291" s="304"/>
      <c r="K291" s="304"/>
      <c r="L291" s="304"/>
      <c r="M291" s="304"/>
      <c r="N291" s="304"/>
      <c r="O291" s="304"/>
      <c r="P291" s="304"/>
      <c r="Q291" s="304"/>
      <c r="R291" s="304"/>
      <c r="S291" s="304"/>
      <c r="T291" s="304"/>
      <c r="U291" s="304"/>
      <c r="V291" s="304"/>
      <c r="W291" s="304"/>
      <c r="X291" s="304"/>
      <c r="Y291" s="304"/>
      <c r="Z291" s="304"/>
    </row>
    <row r="292" spans="1:26" x14ac:dyDescent="0.2">
      <c r="A292" s="304"/>
      <c r="B292" s="304"/>
      <c r="C292" s="304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</row>
    <row r="293" spans="1:26" x14ac:dyDescent="0.2">
      <c r="A293" s="304"/>
      <c r="B293" s="304"/>
      <c r="C293" s="304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  <c r="O293" s="304"/>
      <c r="P293" s="304"/>
      <c r="Q293" s="304"/>
      <c r="R293" s="304"/>
      <c r="S293" s="304"/>
      <c r="T293" s="304"/>
      <c r="U293" s="304"/>
      <c r="V293" s="304"/>
      <c r="W293" s="304"/>
      <c r="X293" s="304"/>
      <c r="Y293" s="304"/>
      <c r="Z293" s="304"/>
    </row>
    <row r="294" spans="1:26" x14ac:dyDescent="0.2">
      <c r="A294" s="304"/>
      <c r="B294" s="304"/>
      <c r="C294" s="304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304"/>
      <c r="X294" s="304"/>
      <c r="Y294" s="304"/>
      <c r="Z294" s="304"/>
    </row>
    <row r="295" spans="1:26" x14ac:dyDescent="0.2">
      <c r="A295" s="304"/>
      <c r="B295" s="304"/>
      <c r="C295" s="304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  <c r="O295" s="304"/>
      <c r="P295" s="304"/>
      <c r="Q295" s="304"/>
      <c r="R295" s="304"/>
      <c r="S295" s="304"/>
      <c r="T295" s="304"/>
      <c r="U295" s="304"/>
      <c r="V295" s="304"/>
      <c r="W295" s="304"/>
      <c r="X295" s="304"/>
      <c r="Y295" s="304"/>
      <c r="Z295" s="304"/>
    </row>
    <row r="296" spans="1:26" x14ac:dyDescent="0.2">
      <c r="A296" s="304"/>
      <c r="B296" s="304"/>
      <c r="C296" s="304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  <c r="O296" s="304"/>
      <c r="P296" s="304"/>
      <c r="Q296" s="304"/>
      <c r="R296" s="304"/>
      <c r="S296" s="304"/>
      <c r="T296" s="304"/>
      <c r="U296" s="304"/>
      <c r="V296" s="304"/>
      <c r="W296" s="304"/>
      <c r="X296" s="304"/>
      <c r="Y296" s="304"/>
      <c r="Z296" s="304"/>
    </row>
    <row r="297" spans="1:26" x14ac:dyDescent="0.2">
      <c r="A297" s="304"/>
      <c r="B297" s="304"/>
      <c r="C297" s="304"/>
      <c r="D297" s="304"/>
      <c r="E297" s="304"/>
      <c r="F297" s="304"/>
      <c r="G297" s="304"/>
      <c r="H297" s="304"/>
      <c r="I297" s="304"/>
      <c r="J297" s="304"/>
      <c r="K297" s="304"/>
      <c r="L297" s="304"/>
      <c r="M297" s="304"/>
      <c r="N297" s="304"/>
      <c r="O297" s="304"/>
      <c r="P297" s="304"/>
      <c r="Q297" s="304"/>
      <c r="R297" s="304"/>
      <c r="S297" s="304"/>
      <c r="T297" s="304"/>
      <c r="U297" s="304"/>
      <c r="V297" s="304"/>
      <c r="W297" s="304"/>
      <c r="X297" s="304"/>
      <c r="Y297" s="304"/>
      <c r="Z297" s="304"/>
    </row>
    <row r="298" spans="1:26" x14ac:dyDescent="0.2">
      <c r="A298" s="304"/>
      <c r="B298" s="304"/>
      <c r="C298" s="304"/>
      <c r="D298" s="304"/>
      <c r="E298" s="304"/>
      <c r="F298" s="304"/>
      <c r="G298" s="304"/>
      <c r="H298" s="304"/>
      <c r="I298" s="304"/>
      <c r="J298" s="304"/>
      <c r="K298" s="304"/>
      <c r="L298" s="304"/>
      <c r="M298" s="304"/>
      <c r="N298" s="304"/>
      <c r="O298" s="304"/>
      <c r="P298" s="304"/>
      <c r="Q298" s="304"/>
      <c r="R298" s="304"/>
      <c r="S298" s="304"/>
      <c r="T298" s="304"/>
      <c r="U298" s="304"/>
      <c r="V298" s="304"/>
      <c r="W298" s="304"/>
      <c r="X298" s="304"/>
      <c r="Y298" s="304"/>
      <c r="Z298" s="304"/>
    </row>
    <row r="299" spans="1:26" x14ac:dyDescent="0.2">
      <c r="A299" s="304"/>
      <c r="B299" s="304"/>
      <c r="C299" s="30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  <c r="O299" s="304"/>
      <c r="P299" s="304"/>
      <c r="Q299" s="304"/>
      <c r="R299" s="304"/>
      <c r="S299" s="304"/>
      <c r="T299" s="304"/>
      <c r="U299" s="304"/>
      <c r="V299" s="304"/>
      <c r="W299" s="304"/>
      <c r="X299" s="304"/>
      <c r="Y299" s="304"/>
      <c r="Z299" s="304"/>
    </row>
    <row r="300" spans="1:26" x14ac:dyDescent="0.2">
      <c r="A300" s="304"/>
      <c r="B300" s="304"/>
      <c r="C300" s="304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  <c r="O300" s="304"/>
      <c r="P300" s="304"/>
      <c r="Q300" s="304"/>
      <c r="R300" s="304"/>
      <c r="S300" s="304"/>
      <c r="T300" s="304"/>
      <c r="U300" s="304"/>
      <c r="V300" s="304"/>
      <c r="W300" s="304"/>
      <c r="X300" s="304"/>
      <c r="Y300" s="304"/>
      <c r="Z300" s="304"/>
    </row>
    <row r="301" spans="1:26" x14ac:dyDescent="0.2">
      <c r="A301" s="304"/>
      <c r="B301" s="304"/>
      <c r="C301" s="304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304"/>
      <c r="O301" s="304"/>
      <c r="P301" s="304"/>
      <c r="Q301" s="304"/>
      <c r="R301" s="304"/>
      <c r="S301" s="304"/>
      <c r="T301" s="304"/>
      <c r="U301" s="304"/>
      <c r="V301" s="304"/>
      <c r="W301" s="304"/>
      <c r="X301" s="304"/>
      <c r="Y301" s="304"/>
      <c r="Z301" s="304"/>
    </row>
    <row r="302" spans="1:26" x14ac:dyDescent="0.2">
      <c r="A302" s="304"/>
      <c r="B302" s="304"/>
      <c r="C302" s="304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  <c r="O302" s="304"/>
      <c r="P302" s="304"/>
      <c r="Q302" s="304"/>
      <c r="R302" s="304"/>
      <c r="S302" s="304"/>
      <c r="T302" s="304"/>
      <c r="U302" s="304"/>
      <c r="V302" s="304"/>
      <c r="W302" s="304"/>
      <c r="X302" s="304"/>
      <c r="Y302" s="304"/>
      <c r="Z302" s="304"/>
    </row>
    <row r="303" spans="1:26" x14ac:dyDescent="0.2">
      <c r="A303" s="304"/>
      <c r="B303" s="304"/>
      <c r="C303" s="30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  <c r="O303" s="304"/>
      <c r="P303" s="304"/>
      <c r="Q303" s="304"/>
      <c r="R303" s="304"/>
      <c r="S303" s="304"/>
      <c r="T303" s="304"/>
      <c r="U303" s="304"/>
      <c r="V303" s="304"/>
      <c r="W303" s="304"/>
      <c r="X303" s="304"/>
      <c r="Y303" s="304"/>
      <c r="Z303" s="304"/>
    </row>
    <row r="304" spans="1:26" x14ac:dyDescent="0.2">
      <c r="A304" s="304"/>
      <c r="B304" s="304"/>
      <c r="C304" s="304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  <c r="O304" s="304"/>
      <c r="P304" s="304"/>
      <c r="Q304" s="304"/>
      <c r="R304" s="304"/>
      <c r="S304" s="304"/>
      <c r="T304" s="304"/>
      <c r="U304" s="304"/>
      <c r="V304" s="304"/>
      <c r="W304" s="304"/>
      <c r="X304" s="304"/>
      <c r="Y304" s="304"/>
      <c r="Z304" s="304"/>
    </row>
    <row r="305" spans="1:26" x14ac:dyDescent="0.2">
      <c r="A305" s="304"/>
      <c r="B305" s="304"/>
      <c r="C305" s="304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  <c r="O305" s="304"/>
      <c r="P305" s="304"/>
      <c r="Q305" s="304"/>
      <c r="R305" s="304"/>
      <c r="S305" s="304"/>
      <c r="T305" s="304"/>
      <c r="U305" s="304"/>
      <c r="V305" s="304"/>
      <c r="W305" s="304"/>
      <c r="X305" s="304"/>
      <c r="Y305" s="304"/>
      <c r="Z305" s="304"/>
    </row>
    <row r="306" spans="1:26" x14ac:dyDescent="0.2">
      <c r="A306" s="304"/>
      <c r="B306" s="304"/>
      <c r="C306" s="304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  <c r="O306" s="304"/>
      <c r="P306" s="304"/>
      <c r="Q306" s="304"/>
      <c r="R306" s="304"/>
      <c r="S306" s="304"/>
      <c r="T306" s="304"/>
      <c r="U306" s="304"/>
      <c r="V306" s="304"/>
      <c r="W306" s="304"/>
      <c r="X306" s="304"/>
      <c r="Y306" s="304"/>
      <c r="Z306" s="304"/>
    </row>
    <row r="307" spans="1:26" x14ac:dyDescent="0.2">
      <c r="A307" s="304"/>
      <c r="B307" s="304"/>
      <c r="C307" s="304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  <c r="O307" s="304"/>
      <c r="P307" s="304"/>
      <c r="Q307" s="304"/>
      <c r="R307" s="304"/>
      <c r="S307" s="304"/>
      <c r="T307" s="304"/>
      <c r="U307" s="304"/>
      <c r="V307" s="304"/>
      <c r="W307" s="304"/>
      <c r="X307" s="304"/>
      <c r="Y307" s="304"/>
      <c r="Z307" s="304"/>
    </row>
    <row r="308" spans="1:26" x14ac:dyDescent="0.2">
      <c r="A308" s="304"/>
      <c r="B308" s="304"/>
      <c r="C308" s="304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  <c r="O308" s="304"/>
      <c r="P308" s="304"/>
      <c r="Q308" s="304"/>
      <c r="R308" s="304"/>
      <c r="S308" s="304"/>
      <c r="T308" s="304"/>
      <c r="U308" s="304"/>
      <c r="V308" s="304"/>
      <c r="W308" s="304"/>
      <c r="X308" s="304"/>
      <c r="Y308" s="304"/>
      <c r="Z308" s="304"/>
    </row>
    <row r="309" spans="1:26" x14ac:dyDescent="0.2">
      <c r="A309" s="304"/>
      <c r="B309" s="304"/>
      <c r="C309" s="304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  <c r="O309" s="304"/>
      <c r="P309" s="304"/>
      <c r="Q309" s="304"/>
      <c r="R309" s="304"/>
      <c r="S309" s="304"/>
      <c r="T309" s="304"/>
      <c r="U309" s="304"/>
      <c r="V309" s="304"/>
      <c r="W309" s="304"/>
      <c r="X309" s="304"/>
      <c r="Y309" s="304"/>
      <c r="Z309" s="304"/>
    </row>
    <row r="310" spans="1:26" x14ac:dyDescent="0.2">
      <c r="A310" s="304"/>
      <c r="B310" s="304"/>
      <c r="C310" s="304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  <c r="O310" s="304"/>
      <c r="P310" s="304"/>
      <c r="Q310" s="304"/>
      <c r="R310" s="304"/>
      <c r="S310" s="304"/>
      <c r="T310" s="304"/>
      <c r="U310" s="304"/>
      <c r="V310" s="304"/>
      <c r="W310" s="304"/>
      <c r="X310" s="304"/>
      <c r="Y310" s="304"/>
      <c r="Z310" s="304"/>
    </row>
    <row r="311" spans="1:26" x14ac:dyDescent="0.2">
      <c r="A311" s="304"/>
      <c r="B311" s="304"/>
      <c r="C311" s="30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  <c r="O311" s="304"/>
      <c r="P311" s="304"/>
      <c r="Q311" s="304"/>
      <c r="R311" s="304"/>
      <c r="S311" s="304"/>
      <c r="T311" s="304"/>
      <c r="U311" s="304"/>
      <c r="V311" s="304"/>
      <c r="W311" s="304"/>
      <c r="X311" s="304"/>
      <c r="Y311" s="304"/>
      <c r="Z311" s="304"/>
    </row>
    <row r="312" spans="1:26" x14ac:dyDescent="0.2">
      <c r="A312" s="304"/>
      <c r="B312" s="304"/>
      <c r="C312" s="304"/>
      <c r="D312" s="304"/>
      <c r="E312" s="304"/>
      <c r="F312" s="304"/>
      <c r="G312" s="304"/>
      <c r="H312" s="304"/>
      <c r="I312" s="304"/>
      <c r="J312" s="304"/>
      <c r="K312" s="304"/>
      <c r="L312" s="304"/>
      <c r="M312" s="304"/>
      <c r="N312" s="304"/>
      <c r="O312" s="304"/>
      <c r="P312" s="304"/>
      <c r="Q312" s="304"/>
      <c r="R312" s="304"/>
      <c r="S312" s="304"/>
      <c r="T312" s="304"/>
      <c r="U312" s="304"/>
      <c r="V312" s="304"/>
      <c r="W312" s="304"/>
      <c r="X312" s="304"/>
      <c r="Y312" s="304"/>
      <c r="Z312" s="304"/>
    </row>
    <row r="313" spans="1:26" x14ac:dyDescent="0.2">
      <c r="A313" s="304"/>
      <c r="B313" s="304"/>
      <c r="C313" s="304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</row>
    <row r="314" spans="1:26" x14ac:dyDescent="0.2">
      <c r="A314" s="304"/>
      <c r="B314" s="304"/>
      <c r="C314" s="304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  <c r="O314" s="304"/>
      <c r="P314" s="304"/>
      <c r="Q314" s="304"/>
      <c r="R314" s="304"/>
      <c r="S314" s="304"/>
      <c r="T314" s="304"/>
      <c r="U314" s="304"/>
      <c r="V314" s="304"/>
      <c r="W314" s="304"/>
      <c r="X314" s="304"/>
      <c r="Y314" s="304"/>
      <c r="Z314" s="304"/>
    </row>
    <row r="315" spans="1:26" x14ac:dyDescent="0.2">
      <c r="A315" s="304"/>
      <c r="B315" s="304"/>
      <c r="C315" s="304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  <c r="O315" s="304"/>
      <c r="P315" s="304"/>
      <c r="Q315" s="304"/>
      <c r="R315" s="304"/>
      <c r="S315" s="304"/>
      <c r="T315" s="304"/>
      <c r="U315" s="304"/>
      <c r="V315" s="304"/>
      <c r="W315" s="304"/>
      <c r="X315" s="304"/>
      <c r="Y315" s="304"/>
      <c r="Z315" s="304"/>
    </row>
    <row r="316" spans="1:26" x14ac:dyDescent="0.2">
      <c r="A316" s="304"/>
      <c r="B316" s="304"/>
      <c r="C316" s="30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  <c r="O316" s="304"/>
      <c r="P316" s="304"/>
      <c r="Q316" s="304"/>
      <c r="R316" s="304"/>
      <c r="S316" s="304"/>
      <c r="T316" s="304"/>
      <c r="U316" s="304"/>
      <c r="V316" s="304"/>
      <c r="W316" s="304"/>
      <c r="X316" s="304"/>
      <c r="Y316" s="304"/>
      <c r="Z316" s="304"/>
    </row>
    <row r="317" spans="1:26" x14ac:dyDescent="0.2">
      <c r="A317" s="304"/>
      <c r="B317" s="304"/>
      <c r="C317" s="304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  <c r="O317" s="304"/>
      <c r="P317" s="304"/>
      <c r="Q317" s="304"/>
      <c r="R317" s="304"/>
      <c r="S317" s="304"/>
      <c r="T317" s="304"/>
      <c r="U317" s="304"/>
      <c r="V317" s="304"/>
      <c r="W317" s="304"/>
      <c r="X317" s="304"/>
      <c r="Y317" s="304"/>
      <c r="Z317" s="304"/>
    </row>
    <row r="318" spans="1:26" x14ac:dyDescent="0.2">
      <c r="A318" s="304"/>
      <c r="B318" s="304"/>
      <c r="C318" s="304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  <c r="O318" s="304"/>
      <c r="P318" s="304"/>
      <c r="Q318" s="304"/>
      <c r="R318" s="304"/>
      <c r="S318" s="304"/>
      <c r="T318" s="304"/>
      <c r="U318" s="304"/>
      <c r="V318" s="304"/>
      <c r="W318" s="304"/>
      <c r="X318" s="304"/>
      <c r="Y318" s="304"/>
      <c r="Z318" s="304"/>
    </row>
    <row r="319" spans="1:26" x14ac:dyDescent="0.2">
      <c r="A319" s="304"/>
      <c r="B319" s="304"/>
      <c r="C319" s="30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304"/>
      <c r="S319" s="304"/>
      <c r="T319" s="304"/>
      <c r="U319" s="304"/>
      <c r="V319" s="304"/>
      <c r="W319" s="304"/>
      <c r="X319" s="304"/>
      <c r="Y319" s="304"/>
      <c r="Z319" s="304"/>
    </row>
    <row r="320" spans="1:26" x14ac:dyDescent="0.2">
      <c r="A320" s="304"/>
      <c r="B320" s="304"/>
      <c r="C320" s="304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  <c r="O320" s="304"/>
      <c r="P320" s="304"/>
      <c r="Q320" s="304"/>
      <c r="R320" s="304"/>
      <c r="S320" s="304"/>
      <c r="T320" s="304"/>
      <c r="U320" s="304"/>
      <c r="V320" s="304"/>
      <c r="W320" s="304"/>
      <c r="X320" s="304"/>
      <c r="Y320" s="304"/>
      <c r="Z320" s="304"/>
    </row>
    <row r="321" spans="1:26" x14ac:dyDescent="0.2">
      <c r="A321" s="304"/>
      <c r="B321" s="304"/>
      <c r="C321" s="304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4"/>
      <c r="P321" s="304"/>
      <c r="Q321" s="304"/>
      <c r="R321" s="304"/>
      <c r="S321" s="304"/>
      <c r="T321" s="304"/>
      <c r="U321" s="304"/>
      <c r="V321" s="304"/>
      <c r="W321" s="304"/>
      <c r="X321" s="304"/>
      <c r="Y321" s="304"/>
      <c r="Z321" s="304"/>
    </row>
    <row r="322" spans="1:26" x14ac:dyDescent="0.2">
      <c r="A322" s="304"/>
      <c r="B322" s="304"/>
      <c r="C322" s="304"/>
      <c r="D322" s="304"/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  <c r="O322" s="304"/>
      <c r="P322" s="304"/>
      <c r="Q322" s="304"/>
      <c r="R322" s="304"/>
      <c r="S322" s="304"/>
      <c r="T322" s="304"/>
      <c r="U322" s="304"/>
      <c r="V322" s="304"/>
      <c r="W322" s="304"/>
      <c r="X322" s="304"/>
      <c r="Y322" s="304"/>
      <c r="Z322" s="304"/>
    </row>
    <row r="323" spans="1:26" x14ac:dyDescent="0.2">
      <c r="A323" s="304"/>
      <c r="B323" s="304"/>
      <c r="C323" s="304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  <c r="O323" s="304"/>
      <c r="P323" s="304"/>
      <c r="Q323" s="304"/>
      <c r="R323" s="304"/>
      <c r="S323" s="304"/>
      <c r="T323" s="304"/>
      <c r="U323" s="304"/>
      <c r="V323" s="304"/>
      <c r="W323" s="304"/>
      <c r="X323" s="304"/>
      <c r="Y323" s="304"/>
      <c r="Z323" s="304"/>
    </row>
    <row r="324" spans="1:26" x14ac:dyDescent="0.2">
      <c r="A324" s="304"/>
      <c r="B324" s="304"/>
      <c r="C324" s="304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  <c r="O324" s="304"/>
      <c r="P324" s="304"/>
      <c r="Q324" s="304"/>
      <c r="R324" s="304"/>
      <c r="S324" s="304"/>
      <c r="T324" s="304"/>
      <c r="U324" s="304"/>
      <c r="V324" s="304"/>
      <c r="W324" s="304"/>
      <c r="X324" s="304"/>
      <c r="Y324" s="304"/>
      <c r="Z324" s="304"/>
    </row>
    <row r="325" spans="1:26" x14ac:dyDescent="0.2">
      <c r="A325" s="304"/>
      <c r="B325" s="304"/>
      <c r="C325" s="304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  <c r="O325" s="304"/>
      <c r="P325" s="304"/>
      <c r="Q325" s="304"/>
      <c r="R325" s="304"/>
      <c r="S325" s="304"/>
      <c r="T325" s="304"/>
      <c r="U325" s="304"/>
      <c r="V325" s="304"/>
      <c r="W325" s="304"/>
      <c r="X325" s="304"/>
      <c r="Y325" s="304"/>
      <c r="Z325" s="304"/>
    </row>
    <row r="326" spans="1:26" x14ac:dyDescent="0.2">
      <c r="A326" s="304"/>
      <c r="B326" s="304"/>
      <c r="C326" s="304"/>
      <c r="D326" s="304"/>
      <c r="E326" s="304"/>
      <c r="F326" s="304"/>
      <c r="G326" s="304"/>
      <c r="H326" s="304"/>
      <c r="I326" s="304"/>
      <c r="J326" s="304"/>
      <c r="K326" s="304"/>
      <c r="L326" s="304"/>
      <c r="M326" s="304"/>
      <c r="N326" s="304"/>
      <c r="O326" s="304"/>
      <c r="P326" s="304"/>
      <c r="Q326" s="304"/>
      <c r="R326" s="304"/>
      <c r="S326" s="304"/>
      <c r="T326" s="304"/>
      <c r="U326" s="304"/>
      <c r="V326" s="304"/>
      <c r="W326" s="304"/>
      <c r="X326" s="304"/>
      <c r="Y326" s="304"/>
      <c r="Z326" s="304"/>
    </row>
    <row r="327" spans="1:26" x14ac:dyDescent="0.2">
      <c r="A327" s="304"/>
      <c r="B327" s="304"/>
      <c r="C327" s="304"/>
      <c r="D327" s="304"/>
      <c r="E327" s="304"/>
      <c r="F327" s="304"/>
      <c r="G327" s="304"/>
      <c r="H327" s="304"/>
      <c r="I327" s="304"/>
      <c r="J327" s="304"/>
      <c r="K327" s="304"/>
      <c r="L327" s="304"/>
      <c r="M327" s="304"/>
      <c r="N327" s="304"/>
      <c r="O327" s="304"/>
      <c r="P327" s="304"/>
      <c r="Q327" s="304"/>
      <c r="R327" s="304"/>
      <c r="S327" s="304"/>
      <c r="T327" s="304"/>
      <c r="U327" s="304"/>
      <c r="V327" s="304"/>
      <c r="W327" s="304"/>
      <c r="X327" s="304"/>
      <c r="Y327" s="304"/>
      <c r="Z327" s="304"/>
    </row>
    <row r="328" spans="1:26" x14ac:dyDescent="0.2">
      <c r="A328" s="304"/>
      <c r="B328" s="304"/>
      <c r="C328" s="304"/>
      <c r="D328" s="304"/>
      <c r="E328" s="304"/>
      <c r="F328" s="304"/>
      <c r="G328" s="304"/>
      <c r="H328" s="304"/>
      <c r="I328" s="304"/>
      <c r="J328" s="304"/>
      <c r="K328" s="304"/>
      <c r="L328" s="304"/>
      <c r="M328" s="304"/>
      <c r="N328" s="304"/>
      <c r="O328" s="304"/>
      <c r="P328" s="304"/>
      <c r="Q328" s="304"/>
      <c r="R328" s="304"/>
      <c r="S328" s="304"/>
      <c r="T328" s="304"/>
      <c r="U328" s="304"/>
      <c r="V328" s="304"/>
      <c r="W328" s="304"/>
      <c r="X328" s="304"/>
      <c r="Y328" s="304"/>
      <c r="Z328" s="304"/>
    </row>
    <row r="329" spans="1:26" x14ac:dyDescent="0.2">
      <c r="A329" s="304"/>
      <c r="B329" s="304"/>
      <c r="C329" s="304"/>
      <c r="D329" s="304"/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  <c r="O329" s="304"/>
      <c r="P329" s="304"/>
      <c r="Q329" s="304"/>
      <c r="R329" s="304"/>
      <c r="S329" s="304"/>
      <c r="T329" s="304"/>
      <c r="U329" s="304"/>
      <c r="V329" s="304"/>
      <c r="W329" s="304"/>
      <c r="X329" s="304"/>
      <c r="Y329" s="304"/>
      <c r="Z329" s="304"/>
    </row>
    <row r="330" spans="1:26" x14ac:dyDescent="0.2">
      <c r="A330" s="304"/>
      <c r="B330" s="304"/>
      <c r="C330" s="304"/>
      <c r="D330" s="304"/>
      <c r="E330" s="304"/>
      <c r="F330" s="304"/>
      <c r="G330" s="304"/>
      <c r="H330" s="304"/>
      <c r="I330" s="304"/>
      <c r="J330" s="304"/>
      <c r="K330" s="304"/>
      <c r="L330" s="304"/>
      <c r="M330" s="304"/>
      <c r="N330" s="304"/>
      <c r="O330" s="304"/>
      <c r="P330" s="304"/>
      <c r="Q330" s="304"/>
      <c r="R330" s="304"/>
      <c r="S330" s="304"/>
      <c r="T330" s="304"/>
      <c r="U330" s="304"/>
      <c r="V330" s="304"/>
      <c r="W330" s="304"/>
      <c r="X330" s="304"/>
      <c r="Y330" s="304"/>
      <c r="Z330" s="304"/>
    </row>
    <row r="331" spans="1:26" x14ac:dyDescent="0.2">
      <c r="A331" s="304"/>
      <c r="B331" s="304"/>
      <c r="C331" s="304"/>
      <c r="D331" s="304"/>
      <c r="E331" s="304"/>
      <c r="F331" s="304"/>
      <c r="G331" s="304"/>
      <c r="H331" s="304"/>
      <c r="I331" s="304"/>
      <c r="J331" s="304"/>
      <c r="K331" s="304"/>
      <c r="L331" s="304"/>
      <c r="M331" s="304"/>
      <c r="N331" s="304"/>
      <c r="O331" s="304"/>
      <c r="P331" s="304"/>
      <c r="Q331" s="304"/>
      <c r="R331" s="304"/>
      <c r="S331" s="304"/>
      <c r="T331" s="304"/>
      <c r="U331" s="304"/>
      <c r="V331" s="304"/>
      <c r="W331" s="304"/>
      <c r="X331" s="304"/>
      <c r="Y331" s="304"/>
      <c r="Z331" s="304"/>
    </row>
    <row r="332" spans="1:26" x14ac:dyDescent="0.2">
      <c r="A332" s="304"/>
      <c r="B332" s="304"/>
      <c r="C332" s="30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</row>
    <row r="333" spans="1:26" x14ac:dyDescent="0.2">
      <c r="A333" s="304"/>
      <c r="B333" s="304"/>
      <c r="C333" s="304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4"/>
      <c r="O333" s="304"/>
      <c r="P333" s="304"/>
      <c r="Q333" s="304"/>
      <c r="R333" s="304"/>
      <c r="S333" s="304"/>
      <c r="T333" s="304"/>
      <c r="U333" s="304"/>
      <c r="V333" s="304"/>
      <c r="W333" s="304"/>
      <c r="X333" s="304"/>
      <c r="Y333" s="304"/>
      <c r="Z333" s="304"/>
    </row>
    <row r="334" spans="1:26" x14ac:dyDescent="0.2">
      <c r="A334" s="304"/>
      <c r="B334" s="304"/>
      <c r="C334" s="304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</row>
    <row r="335" spans="1:26" x14ac:dyDescent="0.2">
      <c r="A335" s="304"/>
      <c r="B335" s="304"/>
      <c r="C335" s="304"/>
      <c r="D335" s="304"/>
      <c r="E335" s="304"/>
      <c r="F335" s="304"/>
      <c r="G335" s="304"/>
      <c r="H335" s="304"/>
      <c r="I335" s="304"/>
      <c r="J335" s="304"/>
      <c r="K335" s="304"/>
      <c r="L335" s="304"/>
      <c r="M335" s="304"/>
      <c r="N335" s="304"/>
      <c r="O335" s="304"/>
      <c r="P335" s="304"/>
      <c r="Q335" s="304"/>
      <c r="R335" s="304"/>
      <c r="S335" s="304"/>
      <c r="T335" s="304"/>
      <c r="U335" s="304"/>
      <c r="V335" s="304"/>
      <c r="W335" s="304"/>
      <c r="X335" s="304"/>
      <c r="Y335" s="304"/>
      <c r="Z335" s="304"/>
    </row>
    <row r="336" spans="1:26" x14ac:dyDescent="0.2">
      <c r="A336" s="304"/>
      <c r="B336" s="304"/>
      <c r="C336" s="304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</row>
    <row r="337" spans="1:26" x14ac:dyDescent="0.2">
      <c r="A337" s="304"/>
      <c r="B337" s="304"/>
      <c r="C337" s="304"/>
      <c r="D337" s="304"/>
      <c r="E337" s="304"/>
      <c r="F337" s="304"/>
      <c r="G337" s="304"/>
      <c r="H337" s="304"/>
      <c r="I337" s="304"/>
      <c r="J337" s="304"/>
      <c r="K337" s="304"/>
      <c r="L337" s="304"/>
      <c r="M337" s="304"/>
      <c r="N337" s="304"/>
      <c r="O337" s="304"/>
      <c r="P337" s="304"/>
      <c r="Q337" s="304"/>
      <c r="R337" s="304"/>
      <c r="S337" s="304"/>
      <c r="T337" s="304"/>
      <c r="U337" s="304"/>
      <c r="V337" s="304"/>
      <c r="W337" s="304"/>
      <c r="X337" s="304"/>
      <c r="Y337" s="304"/>
      <c r="Z337" s="304"/>
    </row>
    <row r="338" spans="1:26" x14ac:dyDescent="0.2">
      <c r="A338" s="304"/>
      <c r="B338" s="304"/>
      <c r="C338" s="304"/>
      <c r="D338" s="304"/>
      <c r="E338" s="304"/>
      <c r="F338" s="304"/>
      <c r="G338" s="304"/>
      <c r="H338" s="304"/>
      <c r="I338" s="304"/>
      <c r="J338" s="304"/>
      <c r="K338" s="304"/>
      <c r="L338" s="304"/>
      <c r="M338" s="304"/>
      <c r="N338" s="304"/>
      <c r="O338" s="304"/>
      <c r="P338" s="304"/>
      <c r="Q338" s="304"/>
      <c r="R338" s="304"/>
      <c r="S338" s="304"/>
      <c r="T338" s="304"/>
      <c r="U338" s="304"/>
      <c r="V338" s="304"/>
      <c r="W338" s="304"/>
      <c r="X338" s="304"/>
      <c r="Y338" s="304"/>
      <c r="Z338" s="304"/>
    </row>
    <row r="339" spans="1:26" x14ac:dyDescent="0.2">
      <c r="A339" s="304"/>
      <c r="B339" s="304"/>
      <c r="C339" s="304"/>
      <c r="D339" s="304"/>
      <c r="E339" s="304"/>
      <c r="F339" s="304"/>
      <c r="G339" s="304"/>
      <c r="H339" s="304"/>
      <c r="I339" s="304"/>
      <c r="J339" s="304"/>
      <c r="K339" s="304"/>
      <c r="L339" s="304"/>
      <c r="M339" s="304"/>
      <c r="N339" s="304"/>
      <c r="O339" s="304"/>
      <c r="P339" s="304"/>
      <c r="Q339" s="304"/>
      <c r="R339" s="304"/>
      <c r="S339" s="304"/>
      <c r="T339" s="304"/>
      <c r="U339" s="304"/>
      <c r="V339" s="304"/>
      <c r="W339" s="304"/>
      <c r="X339" s="304"/>
      <c r="Y339" s="304"/>
      <c r="Z339" s="304"/>
    </row>
    <row r="340" spans="1:26" x14ac:dyDescent="0.2">
      <c r="A340" s="304"/>
      <c r="B340" s="304"/>
      <c r="C340" s="304"/>
      <c r="D340" s="304"/>
      <c r="E340" s="304"/>
      <c r="F340" s="304"/>
      <c r="G340" s="304"/>
      <c r="H340" s="304"/>
      <c r="I340" s="304"/>
      <c r="J340" s="304"/>
      <c r="K340" s="304"/>
      <c r="L340" s="304"/>
      <c r="M340" s="304"/>
      <c r="N340" s="304"/>
      <c r="O340" s="304"/>
      <c r="P340" s="304"/>
      <c r="Q340" s="304"/>
      <c r="R340" s="304"/>
      <c r="S340" s="304"/>
      <c r="T340" s="304"/>
      <c r="U340" s="304"/>
      <c r="V340" s="304"/>
      <c r="W340" s="304"/>
      <c r="X340" s="304"/>
      <c r="Y340" s="304"/>
      <c r="Z340" s="304"/>
    </row>
    <row r="341" spans="1:26" x14ac:dyDescent="0.2">
      <c r="A341" s="304"/>
      <c r="B341" s="304"/>
      <c r="C341" s="304"/>
      <c r="D341" s="304"/>
      <c r="E341" s="304"/>
      <c r="F341" s="304"/>
      <c r="G341" s="304"/>
      <c r="H341" s="304"/>
      <c r="I341" s="304"/>
      <c r="J341" s="304"/>
      <c r="K341" s="304"/>
      <c r="L341" s="304"/>
      <c r="M341" s="304"/>
      <c r="N341" s="304"/>
      <c r="O341" s="304"/>
      <c r="P341" s="304"/>
      <c r="Q341" s="304"/>
      <c r="R341" s="304"/>
      <c r="S341" s="304"/>
      <c r="T341" s="304"/>
      <c r="U341" s="304"/>
      <c r="V341" s="304"/>
      <c r="W341" s="304"/>
      <c r="X341" s="304"/>
      <c r="Y341" s="304"/>
      <c r="Z341" s="304"/>
    </row>
    <row r="342" spans="1:26" x14ac:dyDescent="0.2">
      <c r="A342" s="304"/>
      <c r="B342" s="304"/>
      <c r="C342" s="304"/>
      <c r="D342" s="304"/>
      <c r="E342" s="304"/>
      <c r="F342" s="304"/>
      <c r="G342" s="304"/>
      <c r="H342" s="304"/>
      <c r="I342" s="304"/>
      <c r="J342" s="304"/>
      <c r="K342" s="304"/>
      <c r="L342" s="304"/>
      <c r="M342" s="304"/>
      <c r="N342" s="304"/>
      <c r="O342" s="304"/>
      <c r="P342" s="304"/>
      <c r="Q342" s="304"/>
      <c r="R342" s="304"/>
      <c r="S342" s="304"/>
      <c r="T342" s="304"/>
      <c r="U342" s="304"/>
      <c r="V342" s="304"/>
      <c r="W342" s="304"/>
      <c r="X342" s="304"/>
      <c r="Y342" s="304"/>
      <c r="Z342" s="304"/>
    </row>
    <row r="343" spans="1:26" x14ac:dyDescent="0.2">
      <c r="A343" s="304"/>
      <c r="B343" s="304"/>
      <c r="C343" s="304"/>
      <c r="D343" s="304"/>
      <c r="E343" s="304"/>
      <c r="F343" s="304"/>
      <c r="G343" s="304"/>
      <c r="H343" s="304"/>
      <c r="I343" s="304"/>
      <c r="J343" s="304"/>
      <c r="K343" s="304"/>
      <c r="L343" s="304"/>
      <c r="M343" s="304"/>
      <c r="N343" s="304"/>
      <c r="O343" s="304"/>
      <c r="P343" s="304"/>
      <c r="Q343" s="304"/>
      <c r="R343" s="304"/>
      <c r="S343" s="304"/>
      <c r="T343" s="304"/>
      <c r="U343" s="304"/>
      <c r="V343" s="304"/>
      <c r="W343" s="304"/>
      <c r="X343" s="304"/>
      <c r="Y343" s="304"/>
      <c r="Z343" s="304"/>
    </row>
    <row r="344" spans="1:26" x14ac:dyDescent="0.2">
      <c r="A344" s="304"/>
      <c r="B344" s="304"/>
      <c r="C344" s="304"/>
      <c r="D344" s="304"/>
      <c r="E344" s="304"/>
      <c r="F344" s="304"/>
      <c r="G344" s="304"/>
      <c r="H344" s="304"/>
      <c r="I344" s="304"/>
      <c r="J344" s="304"/>
      <c r="K344" s="304"/>
      <c r="L344" s="304"/>
      <c r="M344" s="304"/>
      <c r="N344" s="304"/>
      <c r="O344" s="304"/>
      <c r="P344" s="304"/>
      <c r="Q344" s="304"/>
      <c r="R344" s="304"/>
      <c r="S344" s="304"/>
      <c r="T344" s="304"/>
      <c r="U344" s="304"/>
      <c r="V344" s="304"/>
      <c r="W344" s="304"/>
      <c r="X344" s="304"/>
      <c r="Y344" s="304"/>
      <c r="Z344" s="304"/>
    </row>
    <row r="345" spans="1:26" x14ac:dyDescent="0.2">
      <c r="A345" s="304"/>
      <c r="B345" s="304"/>
      <c r="C345" s="304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  <c r="N345" s="304"/>
      <c r="O345" s="304"/>
      <c r="P345" s="304"/>
      <c r="Q345" s="304"/>
      <c r="R345" s="304"/>
      <c r="S345" s="304"/>
      <c r="T345" s="304"/>
      <c r="U345" s="304"/>
      <c r="V345" s="304"/>
      <c r="W345" s="304"/>
      <c r="X345" s="304"/>
      <c r="Y345" s="304"/>
      <c r="Z345" s="304"/>
    </row>
    <row r="346" spans="1:26" x14ac:dyDescent="0.2">
      <c r="A346" s="304"/>
      <c r="B346" s="304"/>
      <c r="C346" s="304"/>
      <c r="D346" s="304"/>
      <c r="E346" s="304"/>
      <c r="F346" s="304"/>
      <c r="G346" s="304"/>
      <c r="H346" s="304"/>
      <c r="I346" s="304"/>
      <c r="J346" s="304"/>
      <c r="K346" s="304"/>
      <c r="L346" s="304"/>
      <c r="M346" s="304"/>
      <c r="N346" s="304"/>
      <c r="O346" s="304"/>
      <c r="P346" s="304"/>
      <c r="Q346" s="304"/>
      <c r="R346" s="304"/>
      <c r="S346" s="304"/>
      <c r="T346" s="304"/>
      <c r="U346" s="304"/>
      <c r="V346" s="304"/>
      <c r="W346" s="304"/>
      <c r="X346" s="304"/>
      <c r="Y346" s="304"/>
      <c r="Z346" s="304"/>
    </row>
    <row r="347" spans="1:26" x14ac:dyDescent="0.2">
      <c r="A347" s="304"/>
      <c r="B347" s="304"/>
      <c r="C347" s="304"/>
      <c r="D347" s="304"/>
      <c r="E347" s="304"/>
      <c r="F347" s="304"/>
      <c r="G347" s="304"/>
      <c r="H347" s="304"/>
      <c r="I347" s="304"/>
      <c r="J347" s="304"/>
      <c r="K347" s="304"/>
      <c r="L347" s="304"/>
      <c r="M347" s="304"/>
      <c r="N347" s="304"/>
      <c r="O347" s="304"/>
      <c r="P347" s="304"/>
      <c r="Q347" s="304"/>
      <c r="R347" s="304"/>
      <c r="S347" s="304"/>
      <c r="T347" s="304"/>
      <c r="U347" s="304"/>
      <c r="V347" s="304"/>
      <c r="W347" s="304"/>
      <c r="X347" s="304"/>
      <c r="Y347" s="304"/>
      <c r="Z347" s="304"/>
    </row>
    <row r="348" spans="1:26" x14ac:dyDescent="0.2">
      <c r="A348" s="304"/>
      <c r="B348" s="304"/>
      <c r="C348" s="304"/>
      <c r="D348" s="304"/>
      <c r="E348" s="304"/>
      <c r="F348" s="304"/>
      <c r="G348" s="304"/>
      <c r="H348" s="304"/>
      <c r="I348" s="304"/>
      <c r="J348" s="304"/>
      <c r="K348" s="304"/>
      <c r="L348" s="304"/>
      <c r="M348" s="304"/>
      <c r="N348" s="304"/>
      <c r="O348" s="304"/>
      <c r="P348" s="304"/>
      <c r="Q348" s="304"/>
      <c r="R348" s="304"/>
      <c r="S348" s="304"/>
      <c r="T348" s="304"/>
      <c r="U348" s="304"/>
      <c r="V348" s="304"/>
      <c r="W348" s="304"/>
      <c r="X348" s="304"/>
      <c r="Y348" s="304"/>
      <c r="Z348" s="304"/>
    </row>
    <row r="349" spans="1:26" x14ac:dyDescent="0.2">
      <c r="A349" s="304"/>
      <c r="B349" s="304"/>
      <c r="C349" s="304"/>
      <c r="D349" s="304"/>
      <c r="E349" s="304"/>
      <c r="F349" s="304"/>
      <c r="G349" s="304"/>
      <c r="H349" s="304"/>
      <c r="I349" s="304"/>
      <c r="J349" s="304"/>
      <c r="K349" s="304"/>
      <c r="L349" s="304"/>
      <c r="M349" s="304"/>
      <c r="N349" s="304"/>
      <c r="O349" s="304"/>
      <c r="P349" s="304"/>
      <c r="Q349" s="304"/>
      <c r="R349" s="304"/>
      <c r="S349" s="304"/>
      <c r="T349" s="304"/>
      <c r="U349" s="304"/>
      <c r="V349" s="304"/>
      <c r="W349" s="304"/>
      <c r="X349" s="304"/>
      <c r="Y349" s="304"/>
      <c r="Z349" s="304"/>
    </row>
    <row r="350" spans="1:26" x14ac:dyDescent="0.2">
      <c r="A350" s="304"/>
      <c r="B350" s="304"/>
      <c r="C350" s="304"/>
      <c r="D350" s="304"/>
      <c r="E350" s="304"/>
      <c r="F350" s="304"/>
      <c r="G350" s="304"/>
      <c r="H350" s="304"/>
      <c r="I350" s="304"/>
      <c r="J350" s="304"/>
      <c r="K350" s="304"/>
      <c r="L350" s="304"/>
      <c r="M350" s="304"/>
      <c r="N350" s="304"/>
      <c r="O350" s="304"/>
      <c r="P350" s="304"/>
      <c r="Q350" s="304"/>
      <c r="R350" s="304"/>
      <c r="S350" s="304"/>
      <c r="T350" s="304"/>
      <c r="U350" s="304"/>
      <c r="V350" s="304"/>
      <c r="W350" s="304"/>
      <c r="X350" s="304"/>
      <c r="Y350" s="304"/>
      <c r="Z350" s="304"/>
    </row>
    <row r="351" spans="1:26" x14ac:dyDescent="0.2">
      <c r="A351" s="304"/>
      <c r="B351" s="304"/>
      <c r="C351" s="304"/>
      <c r="D351" s="304"/>
      <c r="E351" s="304"/>
      <c r="F351" s="304"/>
      <c r="G351" s="304"/>
      <c r="H351" s="304"/>
      <c r="I351" s="304"/>
      <c r="J351" s="304"/>
      <c r="K351" s="304"/>
      <c r="L351" s="304"/>
      <c r="M351" s="304"/>
      <c r="N351" s="304"/>
      <c r="O351" s="304"/>
      <c r="P351" s="304"/>
      <c r="Q351" s="304"/>
      <c r="R351" s="304"/>
      <c r="S351" s="304"/>
      <c r="T351" s="304"/>
      <c r="U351" s="304"/>
      <c r="V351" s="304"/>
      <c r="W351" s="304"/>
      <c r="X351" s="304"/>
      <c r="Y351" s="304"/>
      <c r="Z351" s="304"/>
    </row>
    <row r="352" spans="1:26" x14ac:dyDescent="0.2">
      <c r="A352" s="304"/>
      <c r="B352" s="304"/>
      <c r="C352" s="304"/>
      <c r="D352" s="304"/>
      <c r="E352" s="304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</row>
    <row r="353" spans="1:26" x14ac:dyDescent="0.2">
      <c r="A353" s="304"/>
      <c r="B353" s="304"/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</row>
    <row r="354" spans="1:26" x14ac:dyDescent="0.2">
      <c r="A354" s="304"/>
      <c r="B354" s="304"/>
      <c r="C354" s="304"/>
      <c r="D354" s="304"/>
      <c r="E354" s="304"/>
      <c r="F354" s="304"/>
      <c r="G354" s="304"/>
      <c r="H354" s="304"/>
      <c r="I354" s="304"/>
      <c r="J354" s="304"/>
      <c r="K354" s="304"/>
      <c r="L354" s="304"/>
      <c r="M354" s="304"/>
      <c r="N354" s="304"/>
      <c r="O354" s="304"/>
      <c r="P354" s="304"/>
      <c r="Q354" s="304"/>
      <c r="R354" s="304"/>
      <c r="S354" s="304"/>
      <c r="T354" s="304"/>
      <c r="U354" s="304"/>
      <c r="V354" s="304"/>
      <c r="W354" s="304"/>
      <c r="X354" s="304"/>
      <c r="Y354" s="304"/>
      <c r="Z354" s="304"/>
    </row>
    <row r="355" spans="1:26" x14ac:dyDescent="0.2">
      <c r="A355" s="304"/>
      <c r="B355" s="304"/>
      <c r="C355" s="304"/>
      <c r="D355" s="304"/>
      <c r="E355" s="304"/>
      <c r="F355" s="304"/>
      <c r="G355" s="304"/>
      <c r="H355" s="304"/>
      <c r="I355" s="304"/>
      <c r="J355" s="304"/>
      <c r="K355" s="304"/>
      <c r="L355" s="304"/>
      <c r="M355" s="304"/>
      <c r="N355" s="304"/>
      <c r="O355" s="304"/>
      <c r="P355" s="304"/>
      <c r="Q355" s="304"/>
      <c r="R355" s="304"/>
      <c r="S355" s="304"/>
      <c r="T355" s="304"/>
      <c r="U355" s="304"/>
      <c r="V355" s="304"/>
      <c r="W355" s="304"/>
      <c r="X355" s="304"/>
      <c r="Y355" s="304"/>
      <c r="Z355" s="304"/>
    </row>
    <row r="356" spans="1:26" x14ac:dyDescent="0.2">
      <c r="A356" s="304"/>
      <c r="B356" s="304"/>
      <c r="C356" s="304"/>
      <c r="D356" s="304"/>
      <c r="E356" s="304"/>
      <c r="F356" s="304"/>
      <c r="G356" s="304"/>
      <c r="H356" s="304"/>
      <c r="I356" s="304"/>
      <c r="J356" s="304"/>
      <c r="K356" s="304"/>
      <c r="L356" s="304"/>
      <c r="M356" s="304"/>
      <c r="N356" s="304"/>
      <c r="O356" s="304"/>
      <c r="P356" s="304"/>
      <c r="Q356" s="304"/>
      <c r="R356" s="304"/>
      <c r="S356" s="304"/>
      <c r="T356" s="304"/>
      <c r="U356" s="304"/>
      <c r="V356" s="304"/>
      <c r="W356" s="304"/>
      <c r="X356" s="304"/>
      <c r="Y356" s="304"/>
      <c r="Z356" s="304"/>
    </row>
    <row r="357" spans="1:26" x14ac:dyDescent="0.2">
      <c r="A357" s="304"/>
      <c r="B357" s="304"/>
      <c r="C357" s="304"/>
      <c r="D357" s="304"/>
      <c r="E357" s="304"/>
      <c r="F357" s="304"/>
      <c r="G357" s="304"/>
      <c r="H357" s="304"/>
      <c r="I357" s="304"/>
      <c r="J357" s="304"/>
      <c r="K357" s="304"/>
      <c r="L357" s="304"/>
      <c r="M357" s="304"/>
      <c r="N357" s="304"/>
      <c r="O357" s="304"/>
      <c r="P357" s="304"/>
      <c r="Q357" s="304"/>
      <c r="R357" s="304"/>
      <c r="S357" s="304"/>
      <c r="T357" s="304"/>
      <c r="U357" s="304"/>
      <c r="V357" s="304"/>
      <c r="W357" s="304"/>
      <c r="X357" s="304"/>
      <c r="Y357" s="304"/>
      <c r="Z357" s="304"/>
    </row>
    <row r="358" spans="1:26" x14ac:dyDescent="0.2">
      <c r="A358" s="304"/>
      <c r="B358" s="304"/>
      <c r="C358" s="304"/>
      <c r="D358" s="304"/>
      <c r="E358" s="304"/>
      <c r="F358" s="304"/>
      <c r="G358" s="304"/>
      <c r="H358" s="304"/>
      <c r="I358" s="304"/>
      <c r="J358" s="304"/>
      <c r="K358" s="304"/>
      <c r="L358" s="304"/>
      <c r="M358" s="304"/>
      <c r="N358" s="304"/>
      <c r="O358" s="304"/>
      <c r="P358" s="304"/>
      <c r="Q358" s="304"/>
      <c r="R358" s="304"/>
      <c r="S358" s="304"/>
      <c r="T358" s="304"/>
      <c r="U358" s="304"/>
      <c r="V358" s="304"/>
      <c r="W358" s="304"/>
      <c r="X358" s="304"/>
      <c r="Y358" s="304"/>
      <c r="Z358" s="304"/>
    </row>
    <row r="359" spans="1:26" x14ac:dyDescent="0.2">
      <c r="A359" s="304"/>
      <c r="B359" s="304"/>
      <c r="C359" s="304"/>
      <c r="D359" s="304"/>
      <c r="E359" s="304"/>
      <c r="F359" s="304"/>
      <c r="G359" s="304"/>
      <c r="H359" s="304"/>
      <c r="I359" s="304"/>
      <c r="J359" s="304"/>
      <c r="K359" s="304"/>
      <c r="L359" s="304"/>
      <c r="M359" s="304"/>
      <c r="N359" s="304"/>
      <c r="O359" s="304"/>
      <c r="P359" s="304"/>
      <c r="Q359" s="304"/>
      <c r="R359" s="304"/>
      <c r="S359" s="304"/>
      <c r="T359" s="304"/>
      <c r="U359" s="304"/>
      <c r="V359" s="304"/>
      <c r="W359" s="304"/>
      <c r="X359" s="304"/>
      <c r="Y359" s="304"/>
      <c r="Z359" s="304"/>
    </row>
    <row r="360" spans="1:26" x14ac:dyDescent="0.2">
      <c r="A360" s="304"/>
      <c r="B360" s="304"/>
      <c r="C360" s="304"/>
      <c r="D360" s="304"/>
      <c r="E360" s="304"/>
      <c r="F360" s="304"/>
      <c r="G360" s="304"/>
      <c r="H360" s="304"/>
      <c r="I360" s="304"/>
      <c r="J360" s="304"/>
      <c r="K360" s="304"/>
      <c r="L360" s="304"/>
      <c r="M360" s="304"/>
      <c r="N360" s="304"/>
      <c r="O360" s="304"/>
      <c r="P360" s="304"/>
      <c r="Q360" s="304"/>
      <c r="R360" s="304"/>
      <c r="S360" s="304"/>
      <c r="T360" s="304"/>
      <c r="U360" s="304"/>
      <c r="V360" s="304"/>
      <c r="W360" s="304"/>
      <c r="X360" s="304"/>
      <c r="Y360" s="304"/>
      <c r="Z360" s="304"/>
    </row>
    <row r="361" spans="1:26" x14ac:dyDescent="0.2">
      <c r="A361" s="304"/>
      <c r="B361" s="304"/>
      <c r="C361" s="304"/>
      <c r="D361" s="304"/>
      <c r="E361" s="304"/>
      <c r="F361" s="304"/>
      <c r="G361" s="304"/>
      <c r="H361" s="304"/>
      <c r="I361" s="304"/>
      <c r="J361" s="304"/>
      <c r="K361" s="304"/>
      <c r="L361" s="304"/>
      <c r="M361" s="304"/>
      <c r="N361" s="304"/>
      <c r="O361" s="304"/>
      <c r="P361" s="304"/>
      <c r="Q361" s="304"/>
      <c r="R361" s="304"/>
      <c r="S361" s="304"/>
      <c r="T361" s="304"/>
      <c r="U361" s="304"/>
      <c r="V361" s="304"/>
      <c r="W361" s="304"/>
      <c r="X361" s="304"/>
      <c r="Y361" s="304"/>
      <c r="Z361" s="304"/>
    </row>
    <row r="362" spans="1:26" x14ac:dyDescent="0.2">
      <c r="A362" s="304"/>
      <c r="B362" s="304"/>
      <c r="C362" s="304"/>
      <c r="D362" s="304"/>
      <c r="E362" s="304"/>
      <c r="F362" s="304"/>
      <c r="G362" s="304"/>
      <c r="H362" s="304"/>
      <c r="I362" s="304"/>
      <c r="J362" s="304"/>
      <c r="K362" s="304"/>
      <c r="L362" s="304"/>
      <c r="M362" s="304"/>
      <c r="N362" s="304"/>
      <c r="O362" s="304"/>
      <c r="P362" s="304"/>
      <c r="Q362" s="304"/>
      <c r="R362" s="304"/>
      <c r="S362" s="304"/>
      <c r="T362" s="304"/>
      <c r="U362" s="304"/>
      <c r="V362" s="304"/>
      <c r="W362" s="304"/>
      <c r="X362" s="304"/>
      <c r="Y362" s="304"/>
      <c r="Z362" s="304"/>
    </row>
    <row r="363" spans="1:26" x14ac:dyDescent="0.2">
      <c r="A363" s="304"/>
      <c r="B363" s="304"/>
      <c r="C363" s="304"/>
      <c r="D363" s="304"/>
      <c r="E363" s="304"/>
      <c r="F363" s="304"/>
      <c r="G363" s="304"/>
      <c r="H363" s="304"/>
      <c r="I363" s="304"/>
      <c r="J363" s="304"/>
      <c r="K363" s="304"/>
      <c r="L363" s="304"/>
      <c r="M363" s="304"/>
      <c r="N363" s="304"/>
      <c r="O363" s="304"/>
      <c r="P363" s="304"/>
      <c r="Q363" s="304"/>
      <c r="R363" s="304"/>
      <c r="S363" s="304"/>
      <c r="T363" s="304"/>
      <c r="U363" s="304"/>
      <c r="V363" s="304"/>
      <c r="W363" s="304"/>
      <c r="X363" s="304"/>
      <c r="Y363" s="304"/>
      <c r="Z363" s="304"/>
    </row>
    <row r="364" spans="1:26" x14ac:dyDescent="0.2">
      <c r="A364" s="304"/>
      <c r="B364" s="304"/>
      <c r="C364" s="304"/>
      <c r="D364" s="304"/>
      <c r="E364" s="304"/>
      <c r="F364" s="304"/>
      <c r="G364" s="304"/>
      <c r="H364" s="304"/>
      <c r="I364" s="304"/>
      <c r="J364" s="304"/>
      <c r="K364" s="304"/>
      <c r="L364" s="304"/>
      <c r="M364" s="304"/>
      <c r="N364" s="304"/>
      <c r="O364" s="304"/>
      <c r="P364" s="304"/>
      <c r="Q364" s="304"/>
      <c r="R364" s="304"/>
      <c r="S364" s="304"/>
      <c r="T364" s="304"/>
      <c r="U364" s="304"/>
      <c r="V364" s="304"/>
      <c r="W364" s="304"/>
      <c r="X364" s="304"/>
      <c r="Y364" s="304"/>
      <c r="Z364" s="304"/>
    </row>
    <row r="365" spans="1:26" x14ac:dyDescent="0.2">
      <c r="A365" s="304"/>
      <c r="B365" s="304"/>
      <c r="C365" s="304"/>
      <c r="D365" s="304"/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</row>
    <row r="366" spans="1:26" x14ac:dyDescent="0.2">
      <c r="A366" s="304"/>
      <c r="B366" s="304"/>
      <c r="C366" s="304"/>
      <c r="D366" s="304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</row>
    <row r="367" spans="1:26" x14ac:dyDescent="0.2">
      <c r="A367" s="304"/>
      <c r="B367" s="304"/>
      <c r="C367" s="304"/>
      <c r="D367" s="304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</row>
    <row r="368" spans="1:26" x14ac:dyDescent="0.2">
      <c r="A368" s="304"/>
      <c r="B368" s="304"/>
      <c r="C368" s="304"/>
      <c r="D368" s="304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</row>
    <row r="369" spans="1:26" x14ac:dyDescent="0.2">
      <c r="A369" s="304"/>
      <c r="B369" s="304"/>
      <c r="C369" s="304"/>
      <c r="D369" s="304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</row>
    <row r="370" spans="1:26" x14ac:dyDescent="0.2">
      <c r="A370" s="304"/>
      <c r="B370" s="304"/>
      <c r="C370" s="304"/>
      <c r="D370" s="304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</row>
    <row r="371" spans="1:26" x14ac:dyDescent="0.2">
      <c r="A371" s="304"/>
      <c r="B371" s="304"/>
      <c r="C371" s="304"/>
      <c r="D371" s="304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</row>
    <row r="372" spans="1:26" x14ac:dyDescent="0.2">
      <c r="A372" s="304"/>
      <c r="B372" s="304"/>
      <c r="C372" s="304"/>
      <c r="D372" s="304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</row>
    <row r="373" spans="1:26" x14ac:dyDescent="0.2">
      <c r="A373" s="304"/>
      <c r="B373" s="304"/>
      <c r="C373" s="304"/>
      <c r="D373" s="304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</row>
    <row r="374" spans="1:26" x14ac:dyDescent="0.2">
      <c r="A374" s="304"/>
      <c r="B374" s="304"/>
      <c r="C374" s="304"/>
      <c r="D374" s="304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</row>
    <row r="375" spans="1:26" x14ac:dyDescent="0.2">
      <c r="A375" s="304"/>
      <c r="B375" s="304"/>
      <c r="C375" s="304"/>
      <c r="D375" s="304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</row>
    <row r="376" spans="1:26" x14ac:dyDescent="0.2">
      <c r="A376" s="304"/>
      <c r="B376" s="304"/>
      <c r="C376" s="304"/>
      <c r="D376" s="304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</row>
    <row r="377" spans="1:26" x14ac:dyDescent="0.2">
      <c r="A377" s="304"/>
      <c r="B377" s="304"/>
      <c r="C377" s="304"/>
      <c r="D377" s="304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</row>
    <row r="378" spans="1:26" x14ac:dyDescent="0.2">
      <c r="A378" s="304"/>
      <c r="B378" s="304"/>
      <c r="C378" s="304"/>
      <c r="D378" s="304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</row>
    <row r="379" spans="1:26" x14ac:dyDescent="0.2">
      <c r="A379" s="304"/>
      <c r="B379" s="304"/>
      <c r="C379" s="304"/>
      <c r="D379" s="304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</row>
    <row r="380" spans="1:26" x14ac:dyDescent="0.2">
      <c r="A380" s="304"/>
      <c r="B380" s="304"/>
      <c r="C380" s="304"/>
      <c r="D380" s="304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</row>
    <row r="381" spans="1:26" x14ac:dyDescent="0.2">
      <c r="A381" s="304"/>
      <c r="B381" s="304"/>
      <c r="C381" s="304"/>
      <c r="D381" s="304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</row>
    <row r="382" spans="1:26" x14ac:dyDescent="0.2">
      <c r="A382" s="304"/>
      <c r="B382" s="304"/>
      <c r="C382" s="304"/>
      <c r="D382" s="304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</row>
    <row r="383" spans="1:26" x14ac:dyDescent="0.2">
      <c r="A383" s="304"/>
      <c r="B383" s="304"/>
      <c r="C383" s="304"/>
      <c r="D383" s="304"/>
      <c r="E383" s="304"/>
      <c r="F383" s="304"/>
      <c r="G383" s="304"/>
      <c r="H383" s="304"/>
      <c r="I383" s="304"/>
      <c r="J383" s="304"/>
      <c r="K383" s="304"/>
      <c r="L383" s="304"/>
      <c r="M383" s="304"/>
      <c r="N383" s="304"/>
      <c r="O383" s="304"/>
      <c r="P383" s="304"/>
      <c r="Q383" s="304"/>
      <c r="R383" s="304"/>
      <c r="S383" s="304"/>
      <c r="T383" s="304"/>
      <c r="U383" s="304"/>
      <c r="V383" s="304"/>
      <c r="W383" s="304"/>
      <c r="X383" s="304"/>
      <c r="Y383" s="304"/>
      <c r="Z383" s="304"/>
    </row>
    <row r="384" spans="1:26" x14ac:dyDescent="0.2">
      <c r="A384" s="304"/>
      <c r="B384" s="304"/>
      <c r="C384" s="304"/>
      <c r="D384" s="304"/>
      <c r="E384" s="304"/>
      <c r="F384" s="304"/>
      <c r="G384" s="304"/>
      <c r="H384" s="304"/>
      <c r="I384" s="304"/>
      <c r="J384" s="304"/>
      <c r="K384" s="304"/>
      <c r="L384" s="304"/>
      <c r="M384" s="304"/>
      <c r="N384" s="304"/>
      <c r="O384" s="304"/>
      <c r="P384" s="304"/>
      <c r="Q384" s="304"/>
      <c r="R384" s="304"/>
      <c r="S384" s="304"/>
      <c r="T384" s="304"/>
      <c r="U384" s="304"/>
      <c r="V384" s="304"/>
      <c r="W384" s="304"/>
      <c r="X384" s="304"/>
      <c r="Y384" s="304"/>
      <c r="Z384" s="304"/>
    </row>
    <row r="385" spans="1:26" x14ac:dyDescent="0.2">
      <c r="A385" s="304"/>
      <c r="B385" s="304"/>
      <c r="C385" s="304"/>
      <c r="D385" s="304"/>
      <c r="E385" s="304"/>
      <c r="F385" s="304"/>
      <c r="G385" s="304"/>
      <c r="H385" s="304"/>
      <c r="I385" s="304"/>
      <c r="J385" s="304"/>
      <c r="K385" s="304"/>
      <c r="L385" s="304"/>
      <c r="M385" s="304"/>
      <c r="N385" s="304"/>
      <c r="O385" s="304"/>
      <c r="P385" s="304"/>
      <c r="Q385" s="304"/>
      <c r="R385" s="304"/>
      <c r="S385" s="304"/>
      <c r="T385" s="304"/>
      <c r="U385" s="304"/>
      <c r="V385" s="304"/>
      <c r="W385" s="304"/>
      <c r="X385" s="304"/>
      <c r="Y385" s="304"/>
      <c r="Z385" s="304"/>
    </row>
    <row r="386" spans="1:26" x14ac:dyDescent="0.2">
      <c r="A386" s="304"/>
      <c r="B386" s="304"/>
      <c r="C386" s="304"/>
      <c r="D386" s="304"/>
      <c r="E386" s="304"/>
      <c r="F386" s="304"/>
      <c r="G386" s="304"/>
      <c r="H386" s="304"/>
      <c r="I386" s="304"/>
      <c r="J386" s="304"/>
      <c r="K386" s="304"/>
      <c r="L386" s="304"/>
      <c r="M386" s="304"/>
      <c r="N386" s="304"/>
      <c r="O386" s="304"/>
      <c r="P386" s="304"/>
      <c r="Q386" s="304"/>
      <c r="R386" s="304"/>
      <c r="S386" s="304"/>
      <c r="T386" s="304"/>
      <c r="U386" s="304"/>
      <c r="V386" s="304"/>
      <c r="W386" s="304"/>
      <c r="X386" s="304"/>
      <c r="Y386" s="304"/>
      <c r="Z386" s="304"/>
    </row>
    <row r="387" spans="1:26" x14ac:dyDescent="0.2">
      <c r="A387" s="304"/>
      <c r="B387" s="304"/>
      <c r="C387" s="304"/>
      <c r="D387" s="304"/>
      <c r="E387" s="304"/>
      <c r="F387" s="304"/>
      <c r="G387" s="304"/>
      <c r="H387" s="304"/>
      <c r="I387" s="304"/>
      <c r="J387" s="304"/>
      <c r="K387" s="304"/>
      <c r="L387" s="304"/>
      <c r="M387" s="304"/>
      <c r="N387" s="304"/>
      <c r="O387" s="304"/>
      <c r="P387" s="304"/>
      <c r="Q387" s="304"/>
      <c r="R387" s="304"/>
      <c r="S387" s="304"/>
      <c r="T387" s="304"/>
      <c r="U387" s="304"/>
      <c r="V387" s="304"/>
      <c r="W387" s="304"/>
      <c r="X387" s="304"/>
      <c r="Y387" s="304"/>
      <c r="Z387" s="304"/>
    </row>
    <row r="388" spans="1:26" x14ac:dyDescent="0.2">
      <c r="A388" s="304"/>
      <c r="B388" s="304"/>
      <c r="C388" s="304"/>
      <c r="D388" s="304"/>
      <c r="E388" s="304"/>
      <c r="F388" s="304"/>
      <c r="G388" s="304"/>
      <c r="H388" s="304"/>
      <c r="I388" s="304"/>
      <c r="J388" s="304"/>
      <c r="K388" s="304"/>
      <c r="L388" s="304"/>
      <c r="M388" s="304"/>
      <c r="N388" s="304"/>
      <c r="O388" s="304"/>
      <c r="P388" s="304"/>
      <c r="Q388" s="304"/>
      <c r="R388" s="304"/>
      <c r="S388" s="304"/>
      <c r="T388" s="304"/>
      <c r="U388" s="304"/>
      <c r="V388" s="304"/>
      <c r="W388" s="304"/>
      <c r="X388" s="304"/>
      <c r="Y388" s="304"/>
      <c r="Z388" s="304"/>
    </row>
    <row r="389" spans="1:26" x14ac:dyDescent="0.2">
      <c r="A389" s="304"/>
      <c r="B389" s="304"/>
      <c r="C389" s="304"/>
      <c r="D389" s="304"/>
      <c r="E389" s="304"/>
      <c r="F389" s="304"/>
      <c r="G389" s="304"/>
      <c r="H389" s="304"/>
      <c r="I389" s="304"/>
      <c r="J389" s="304"/>
      <c r="K389" s="304"/>
      <c r="L389" s="304"/>
      <c r="M389" s="304"/>
      <c r="N389" s="304"/>
      <c r="O389" s="304"/>
      <c r="P389" s="304"/>
      <c r="Q389" s="304"/>
      <c r="R389" s="304"/>
      <c r="S389" s="304"/>
      <c r="T389" s="304"/>
      <c r="U389" s="304"/>
      <c r="V389" s="304"/>
      <c r="W389" s="304"/>
      <c r="X389" s="304"/>
      <c r="Y389" s="304"/>
      <c r="Z389" s="304"/>
    </row>
    <row r="390" spans="1:26" x14ac:dyDescent="0.2">
      <c r="A390" s="304"/>
      <c r="B390" s="304"/>
      <c r="C390" s="304"/>
      <c r="D390" s="304"/>
      <c r="E390" s="304"/>
      <c r="F390" s="304"/>
      <c r="G390" s="304"/>
      <c r="H390" s="304"/>
      <c r="I390" s="304"/>
      <c r="J390" s="304"/>
      <c r="K390" s="304"/>
      <c r="L390" s="304"/>
      <c r="M390" s="304"/>
      <c r="N390" s="304"/>
      <c r="O390" s="304"/>
      <c r="P390" s="304"/>
      <c r="Q390" s="304"/>
      <c r="R390" s="304"/>
      <c r="S390" s="304"/>
      <c r="T390" s="304"/>
      <c r="U390" s="304"/>
      <c r="V390" s="304"/>
      <c r="W390" s="304"/>
      <c r="X390" s="304"/>
      <c r="Y390" s="304"/>
      <c r="Z390" s="304"/>
    </row>
    <row r="391" spans="1:26" x14ac:dyDescent="0.2">
      <c r="A391" s="304"/>
      <c r="B391" s="304"/>
      <c r="C391" s="304"/>
      <c r="D391" s="304"/>
      <c r="E391" s="304"/>
      <c r="F391" s="304"/>
      <c r="G391" s="304"/>
      <c r="H391" s="304"/>
      <c r="I391" s="304"/>
      <c r="J391" s="304"/>
      <c r="K391" s="304"/>
      <c r="L391" s="304"/>
      <c r="M391" s="304"/>
      <c r="N391" s="304"/>
      <c r="O391" s="304"/>
      <c r="P391" s="304"/>
      <c r="Q391" s="304"/>
      <c r="R391" s="304"/>
      <c r="S391" s="304"/>
      <c r="T391" s="304"/>
      <c r="U391" s="304"/>
      <c r="V391" s="304"/>
      <c r="W391" s="304"/>
      <c r="X391" s="304"/>
      <c r="Y391" s="304"/>
      <c r="Z391" s="304"/>
    </row>
    <row r="392" spans="1:26" x14ac:dyDescent="0.2">
      <c r="A392" s="304"/>
      <c r="B392" s="304"/>
      <c r="C392" s="304"/>
      <c r="D392" s="304"/>
      <c r="E392" s="304"/>
      <c r="F392" s="304"/>
      <c r="G392" s="304"/>
      <c r="H392" s="304"/>
      <c r="I392" s="304"/>
      <c r="J392" s="304"/>
      <c r="K392" s="304"/>
      <c r="L392" s="304"/>
      <c r="M392" s="304"/>
      <c r="N392" s="304"/>
      <c r="O392" s="304"/>
      <c r="P392" s="304"/>
      <c r="Q392" s="304"/>
      <c r="R392" s="304"/>
      <c r="S392" s="304"/>
      <c r="T392" s="304"/>
      <c r="U392" s="304"/>
      <c r="V392" s="304"/>
      <c r="W392" s="304"/>
      <c r="X392" s="304"/>
      <c r="Y392" s="304"/>
      <c r="Z392" s="304"/>
    </row>
    <row r="393" spans="1:26" x14ac:dyDescent="0.2">
      <c r="A393" s="304"/>
      <c r="B393" s="304"/>
      <c r="C393" s="304"/>
      <c r="D393" s="304"/>
      <c r="E393" s="304"/>
      <c r="F393" s="304"/>
      <c r="G393" s="304"/>
      <c r="H393" s="304"/>
      <c r="I393" s="304"/>
      <c r="J393" s="304"/>
      <c r="K393" s="304"/>
      <c r="L393" s="304"/>
      <c r="M393" s="304"/>
      <c r="N393" s="304"/>
      <c r="O393" s="304"/>
      <c r="P393" s="304"/>
      <c r="Q393" s="304"/>
      <c r="R393" s="304"/>
      <c r="S393" s="304"/>
      <c r="T393" s="304"/>
      <c r="U393" s="304"/>
      <c r="V393" s="304"/>
      <c r="W393" s="304"/>
      <c r="X393" s="304"/>
      <c r="Y393" s="304"/>
      <c r="Z393" s="304"/>
    </row>
    <row r="394" spans="1:26" x14ac:dyDescent="0.2">
      <c r="A394" s="304"/>
      <c r="B394" s="304"/>
      <c r="C394" s="304"/>
      <c r="D394" s="304"/>
      <c r="E394" s="304"/>
      <c r="F394" s="304"/>
      <c r="G394" s="304"/>
      <c r="H394" s="304"/>
      <c r="I394" s="304"/>
      <c r="J394" s="304"/>
      <c r="K394" s="304"/>
      <c r="L394" s="304"/>
      <c r="M394" s="304"/>
      <c r="N394" s="304"/>
      <c r="O394" s="304"/>
      <c r="P394" s="304"/>
      <c r="Q394" s="304"/>
      <c r="R394" s="304"/>
      <c r="S394" s="304"/>
      <c r="T394" s="304"/>
      <c r="U394" s="304"/>
      <c r="V394" s="304"/>
      <c r="W394" s="304"/>
      <c r="X394" s="304"/>
      <c r="Y394" s="304"/>
      <c r="Z394" s="304"/>
    </row>
    <row r="395" spans="1:26" x14ac:dyDescent="0.2">
      <c r="A395" s="304"/>
      <c r="B395" s="304"/>
      <c r="C395" s="304"/>
      <c r="D395" s="304"/>
      <c r="E395" s="304"/>
      <c r="F395" s="304"/>
      <c r="G395" s="304"/>
      <c r="H395" s="304"/>
      <c r="I395" s="304"/>
      <c r="J395" s="304"/>
      <c r="K395" s="304"/>
      <c r="L395" s="304"/>
      <c r="M395" s="304"/>
      <c r="N395" s="304"/>
      <c r="O395" s="304"/>
      <c r="P395" s="304"/>
      <c r="Q395" s="304"/>
      <c r="R395" s="304"/>
      <c r="S395" s="304"/>
      <c r="T395" s="304"/>
      <c r="U395" s="304"/>
      <c r="V395" s="304"/>
      <c r="W395" s="304"/>
      <c r="X395" s="304"/>
      <c r="Y395" s="304"/>
      <c r="Z395" s="304"/>
    </row>
    <row r="396" spans="1:26" x14ac:dyDescent="0.2">
      <c r="A396" s="304"/>
      <c r="B396" s="304"/>
      <c r="C396" s="304"/>
      <c r="D396" s="304"/>
      <c r="E396" s="304"/>
      <c r="F396" s="304"/>
      <c r="G396" s="304"/>
      <c r="H396" s="304"/>
      <c r="I396" s="304"/>
      <c r="J396" s="304"/>
      <c r="K396" s="304"/>
      <c r="L396" s="304"/>
      <c r="M396" s="304"/>
      <c r="N396" s="304"/>
      <c r="O396" s="304"/>
      <c r="P396" s="304"/>
      <c r="Q396" s="304"/>
      <c r="R396" s="304"/>
      <c r="S396" s="304"/>
      <c r="T396" s="304"/>
      <c r="U396" s="304"/>
      <c r="V396" s="304"/>
      <c r="W396" s="304"/>
      <c r="X396" s="304"/>
      <c r="Y396" s="304"/>
      <c r="Z396" s="304"/>
    </row>
    <row r="397" spans="1:26" x14ac:dyDescent="0.2">
      <c r="A397" s="304"/>
      <c r="B397" s="304"/>
      <c r="C397" s="304"/>
      <c r="D397" s="304"/>
      <c r="E397" s="304"/>
      <c r="F397" s="304"/>
      <c r="G397" s="304"/>
      <c r="H397" s="304"/>
      <c r="I397" s="304"/>
      <c r="J397" s="304"/>
      <c r="K397" s="304"/>
      <c r="L397" s="304"/>
      <c r="M397" s="304"/>
      <c r="N397" s="304"/>
      <c r="O397" s="304"/>
      <c r="P397" s="304"/>
      <c r="Q397" s="304"/>
      <c r="R397" s="304"/>
      <c r="S397" s="304"/>
      <c r="T397" s="304"/>
      <c r="U397" s="304"/>
      <c r="V397" s="304"/>
      <c r="W397" s="304"/>
      <c r="X397" s="304"/>
      <c r="Y397" s="304"/>
      <c r="Z397" s="304"/>
    </row>
    <row r="398" spans="1:26" x14ac:dyDescent="0.2">
      <c r="A398" s="304"/>
      <c r="B398" s="304"/>
      <c r="C398" s="304"/>
      <c r="D398" s="304"/>
      <c r="E398" s="304"/>
      <c r="F398" s="304"/>
      <c r="G398" s="304"/>
      <c r="H398" s="304"/>
      <c r="I398" s="304"/>
      <c r="J398" s="304"/>
      <c r="K398" s="304"/>
      <c r="L398" s="304"/>
      <c r="M398" s="304"/>
      <c r="N398" s="304"/>
      <c r="O398" s="304"/>
      <c r="P398" s="304"/>
      <c r="Q398" s="304"/>
      <c r="R398" s="304"/>
      <c r="S398" s="304"/>
      <c r="T398" s="304"/>
      <c r="U398" s="304"/>
      <c r="V398" s="304"/>
      <c r="W398" s="304"/>
      <c r="X398" s="304"/>
      <c r="Y398" s="304"/>
      <c r="Z398" s="304"/>
    </row>
    <row r="399" spans="1:26" x14ac:dyDescent="0.2">
      <c r="A399" s="304"/>
      <c r="B399" s="304"/>
      <c r="C399" s="304"/>
      <c r="D399" s="304"/>
      <c r="E399" s="304"/>
      <c r="F399" s="304"/>
      <c r="G399" s="304"/>
      <c r="H399" s="304"/>
      <c r="I399" s="304"/>
      <c r="J399" s="304"/>
      <c r="K399" s="304"/>
      <c r="L399" s="304"/>
      <c r="M399" s="304"/>
      <c r="N399" s="304"/>
      <c r="O399" s="304"/>
      <c r="P399" s="304"/>
      <c r="Q399" s="304"/>
      <c r="R399" s="304"/>
      <c r="S399" s="304"/>
      <c r="T399" s="304"/>
      <c r="U399" s="304"/>
      <c r="V399" s="304"/>
      <c r="W399" s="304"/>
      <c r="X399" s="304"/>
      <c r="Y399" s="304"/>
      <c r="Z399" s="304"/>
    </row>
    <row r="400" spans="1:26" x14ac:dyDescent="0.2">
      <c r="A400" s="304"/>
      <c r="B400" s="304"/>
      <c r="C400" s="304"/>
      <c r="D400" s="304"/>
      <c r="E400" s="304"/>
      <c r="F400" s="304"/>
      <c r="G400" s="304"/>
      <c r="H400" s="304"/>
      <c r="I400" s="304"/>
      <c r="J400" s="304"/>
      <c r="K400" s="304"/>
      <c r="L400" s="304"/>
      <c r="M400" s="304"/>
      <c r="N400" s="304"/>
      <c r="O400" s="304"/>
      <c r="P400" s="304"/>
      <c r="Q400" s="304"/>
      <c r="R400" s="304"/>
      <c r="S400" s="304"/>
      <c r="T400" s="304"/>
      <c r="U400" s="304"/>
      <c r="V400" s="304"/>
      <c r="W400" s="304"/>
      <c r="X400" s="304"/>
      <c r="Y400" s="304"/>
      <c r="Z400" s="304"/>
    </row>
    <row r="401" spans="1:26" x14ac:dyDescent="0.2">
      <c r="A401" s="304"/>
      <c r="B401" s="304"/>
      <c r="C401" s="304"/>
      <c r="D401" s="304"/>
      <c r="E401" s="304"/>
      <c r="F401" s="304"/>
      <c r="G401" s="304"/>
      <c r="H401" s="304"/>
      <c r="I401" s="304"/>
      <c r="J401" s="304"/>
      <c r="K401" s="304"/>
      <c r="L401" s="304"/>
      <c r="M401" s="304"/>
      <c r="N401" s="304"/>
      <c r="O401" s="304"/>
      <c r="P401" s="304"/>
      <c r="Q401" s="304"/>
      <c r="R401" s="304"/>
      <c r="S401" s="304"/>
      <c r="T401" s="304"/>
      <c r="U401" s="304"/>
      <c r="V401" s="304"/>
      <c r="W401" s="304"/>
      <c r="X401" s="304"/>
      <c r="Y401" s="304"/>
      <c r="Z401" s="304"/>
    </row>
    <row r="402" spans="1:26" x14ac:dyDescent="0.2">
      <c r="A402" s="304"/>
      <c r="B402" s="304"/>
      <c r="C402" s="304"/>
      <c r="D402" s="304"/>
      <c r="E402" s="304"/>
      <c r="F402" s="304"/>
      <c r="G402" s="304"/>
      <c r="H402" s="304"/>
      <c r="I402" s="304"/>
      <c r="J402" s="304"/>
      <c r="K402" s="304"/>
      <c r="L402" s="304"/>
      <c r="M402" s="304"/>
      <c r="N402" s="304"/>
      <c r="O402" s="304"/>
      <c r="P402" s="304"/>
      <c r="Q402" s="304"/>
      <c r="R402" s="304"/>
      <c r="S402" s="304"/>
      <c r="T402" s="304"/>
      <c r="U402" s="304"/>
      <c r="V402" s="304"/>
      <c r="W402" s="304"/>
      <c r="X402" s="304"/>
      <c r="Y402" s="304"/>
      <c r="Z402" s="304"/>
    </row>
    <row r="403" spans="1:26" x14ac:dyDescent="0.2">
      <c r="A403" s="304"/>
      <c r="B403" s="304"/>
      <c r="C403" s="304"/>
      <c r="D403" s="304"/>
      <c r="E403" s="304"/>
      <c r="F403" s="304"/>
      <c r="G403" s="304"/>
      <c r="H403" s="304"/>
      <c r="I403" s="304"/>
      <c r="J403" s="304"/>
      <c r="K403" s="304"/>
      <c r="L403" s="304"/>
      <c r="M403" s="304"/>
      <c r="N403" s="304"/>
      <c r="O403" s="304"/>
      <c r="P403" s="304"/>
      <c r="Q403" s="304"/>
      <c r="R403" s="304"/>
      <c r="S403" s="304"/>
      <c r="T403" s="304"/>
      <c r="U403" s="304"/>
      <c r="V403" s="304"/>
      <c r="W403" s="304"/>
      <c r="X403" s="304"/>
      <c r="Y403" s="304"/>
      <c r="Z403" s="304"/>
    </row>
    <row r="404" spans="1:26" x14ac:dyDescent="0.2">
      <c r="A404" s="304"/>
      <c r="B404" s="304"/>
      <c r="C404" s="304"/>
      <c r="D404" s="304"/>
      <c r="E404" s="304"/>
      <c r="F404" s="304"/>
      <c r="G404" s="304"/>
      <c r="H404" s="304"/>
      <c r="I404" s="304"/>
      <c r="J404" s="304"/>
      <c r="K404" s="304"/>
      <c r="L404" s="304"/>
      <c r="M404" s="304"/>
      <c r="N404" s="304"/>
      <c r="O404" s="304"/>
      <c r="P404" s="304"/>
      <c r="Q404" s="304"/>
      <c r="R404" s="304"/>
      <c r="S404" s="304"/>
      <c r="T404" s="304"/>
      <c r="U404" s="304"/>
      <c r="V404" s="304"/>
      <c r="W404" s="304"/>
      <c r="X404" s="304"/>
      <c r="Y404" s="304"/>
      <c r="Z404" s="304"/>
    </row>
    <row r="405" spans="1:26" x14ac:dyDescent="0.2">
      <c r="A405" s="304"/>
      <c r="B405" s="304"/>
      <c r="C405" s="304"/>
      <c r="D405" s="304"/>
      <c r="E405" s="304"/>
      <c r="F405" s="304"/>
      <c r="G405" s="304"/>
      <c r="H405" s="304"/>
      <c r="I405" s="304"/>
      <c r="J405" s="304"/>
      <c r="K405" s="304"/>
      <c r="L405" s="304"/>
      <c r="M405" s="304"/>
      <c r="N405" s="304"/>
      <c r="O405" s="304"/>
      <c r="P405" s="304"/>
      <c r="Q405" s="304"/>
      <c r="R405" s="304"/>
      <c r="S405" s="304"/>
      <c r="T405" s="304"/>
      <c r="U405" s="304"/>
      <c r="V405" s="304"/>
      <c r="W405" s="304"/>
      <c r="X405" s="304"/>
      <c r="Y405" s="304"/>
      <c r="Z405" s="304"/>
    </row>
    <row r="406" spans="1:26" x14ac:dyDescent="0.2">
      <c r="A406" s="304"/>
      <c r="B406" s="304"/>
      <c r="C406" s="304"/>
      <c r="D406" s="304"/>
      <c r="E406" s="304"/>
      <c r="F406" s="304"/>
      <c r="G406" s="304"/>
      <c r="H406" s="304"/>
      <c r="I406" s="304"/>
      <c r="J406" s="304"/>
      <c r="K406" s="304"/>
      <c r="L406" s="304"/>
      <c r="M406" s="304"/>
      <c r="N406" s="304"/>
      <c r="O406" s="304"/>
      <c r="P406" s="304"/>
      <c r="Q406" s="304"/>
      <c r="R406" s="304"/>
      <c r="S406" s="304"/>
      <c r="T406" s="304"/>
      <c r="U406" s="304"/>
      <c r="V406" s="304"/>
      <c r="W406" s="304"/>
      <c r="X406" s="304"/>
      <c r="Y406" s="304"/>
      <c r="Z406" s="304"/>
    </row>
    <row r="407" spans="1:26" x14ac:dyDescent="0.2">
      <c r="A407" s="304"/>
      <c r="B407" s="304"/>
      <c r="C407" s="304"/>
      <c r="D407" s="304"/>
      <c r="E407" s="304"/>
      <c r="F407" s="304"/>
      <c r="G407" s="304"/>
      <c r="H407" s="304"/>
      <c r="I407" s="304"/>
      <c r="J407" s="304"/>
      <c r="K407" s="304"/>
      <c r="L407" s="304"/>
      <c r="M407" s="304"/>
      <c r="N407" s="304"/>
      <c r="O407" s="304"/>
      <c r="P407" s="304"/>
      <c r="Q407" s="304"/>
      <c r="R407" s="304"/>
      <c r="S407" s="304"/>
      <c r="T407" s="304"/>
      <c r="U407" s="304"/>
      <c r="V407" s="304"/>
      <c r="W407" s="304"/>
      <c r="X407" s="304"/>
      <c r="Y407" s="304"/>
      <c r="Z407" s="304"/>
    </row>
    <row r="408" spans="1:26" x14ac:dyDescent="0.2">
      <c r="A408" s="304"/>
      <c r="B408" s="304"/>
      <c r="C408" s="304"/>
      <c r="D408" s="304"/>
      <c r="E408" s="304"/>
      <c r="F408" s="304"/>
      <c r="G408" s="304"/>
      <c r="H408" s="304"/>
      <c r="I408" s="304"/>
      <c r="J408" s="304"/>
      <c r="K408" s="304"/>
      <c r="L408" s="304"/>
      <c r="M408" s="304"/>
      <c r="N408" s="304"/>
      <c r="O408" s="304"/>
      <c r="P408" s="304"/>
      <c r="Q408" s="304"/>
      <c r="R408" s="304"/>
      <c r="S408" s="304"/>
      <c r="T408" s="304"/>
      <c r="U408" s="304"/>
      <c r="V408" s="304"/>
      <c r="W408" s="304"/>
      <c r="X408" s="304"/>
      <c r="Y408" s="304"/>
      <c r="Z408" s="304"/>
    </row>
    <row r="409" spans="1:26" x14ac:dyDescent="0.2">
      <c r="A409" s="304"/>
      <c r="B409" s="304"/>
      <c r="C409" s="304"/>
      <c r="D409" s="304"/>
      <c r="E409" s="304"/>
      <c r="F409" s="304"/>
      <c r="G409" s="304"/>
      <c r="H409" s="304"/>
      <c r="I409" s="304"/>
      <c r="J409" s="304"/>
      <c r="K409" s="304"/>
      <c r="L409" s="304"/>
      <c r="M409" s="304"/>
      <c r="N409" s="304"/>
      <c r="O409" s="304"/>
      <c r="P409" s="304"/>
      <c r="Q409" s="304"/>
      <c r="R409" s="304"/>
      <c r="S409" s="304"/>
      <c r="T409" s="304"/>
      <c r="U409" s="304"/>
      <c r="V409" s="304"/>
      <c r="W409" s="304"/>
      <c r="X409" s="304"/>
      <c r="Y409" s="304"/>
      <c r="Z409" s="304"/>
    </row>
    <row r="410" spans="1:26" x14ac:dyDescent="0.2">
      <c r="A410" s="304"/>
      <c r="B410" s="304"/>
      <c r="C410" s="304"/>
      <c r="D410" s="304"/>
      <c r="E410" s="304"/>
      <c r="F410" s="304"/>
      <c r="G410" s="304"/>
      <c r="H410" s="304"/>
      <c r="I410" s="304"/>
      <c r="J410" s="304"/>
      <c r="K410" s="304"/>
      <c r="L410" s="304"/>
      <c r="M410" s="304"/>
      <c r="N410" s="304"/>
      <c r="O410" s="304"/>
      <c r="P410" s="304"/>
      <c r="Q410" s="304"/>
      <c r="R410" s="304"/>
      <c r="S410" s="304"/>
      <c r="T410" s="304"/>
      <c r="U410" s="304"/>
      <c r="V410" s="304"/>
      <c r="W410" s="304"/>
      <c r="X410" s="304"/>
      <c r="Y410" s="304"/>
      <c r="Z410" s="304"/>
    </row>
    <row r="411" spans="1:26" x14ac:dyDescent="0.2">
      <c r="A411" s="304"/>
      <c r="B411" s="304"/>
      <c r="C411" s="304"/>
      <c r="D411" s="304"/>
      <c r="E411" s="304"/>
      <c r="F411" s="304"/>
      <c r="G411" s="304"/>
      <c r="H411" s="304"/>
      <c r="I411" s="304"/>
      <c r="J411" s="304"/>
      <c r="K411" s="304"/>
      <c r="L411" s="304"/>
      <c r="M411" s="304"/>
      <c r="N411" s="304"/>
      <c r="O411" s="304"/>
      <c r="P411" s="304"/>
      <c r="Q411" s="304"/>
      <c r="R411" s="304"/>
      <c r="S411" s="304"/>
      <c r="T411" s="304"/>
      <c r="U411" s="304"/>
      <c r="V411" s="304"/>
      <c r="W411" s="304"/>
      <c r="X411" s="304"/>
      <c r="Y411" s="304"/>
      <c r="Z411" s="304"/>
    </row>
    <row r="412" spans="1:26" x14ac:dyDescent="0.2">
      <c r="A412" s="304"/>
      <c r="B412" s="304"/>
      <c r="C412" s="304"/>
      <c r="D412" s="304"/>
      <c r="E412" s="304"/>
      <c r="F412" s="304"/>
      <c r="G412" s="304"/>
      <c r="H412" s="304"/>
      <c r="I412" s="304"/>
      <c r="J412" s="304"/>
      <c r="K412" s="304"/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04"/>
      <c r="Y412" s="304"/>
      <c r="Z412" s="304"/>
    </row>
    <row r="413" spans="1:26" x14ac:dyDescent="0.2">
      <c r="A413" s="304"/>
      <c r="B413" s="304"/>
      <c r="C413" s="304"/>
      <c r="D413" s="304"/>
      <c r="E413" s="304"/>
      <c r="F413" s="304"/>
      <c r="G413" s="304"/>
      <c r="H413" s="304"/>
      <c r="I413" s="304"/>
      <c r="J413" s="304"/>
      <c r="K413" s="304"/>
      <c r="L413" s="304"/>
      <c r="M413" s="304"/>
      <c r="N413" s="304"/>
      <c r="O413" s="304"/>
      <c r="P413" s="304"/>
      <c r="Q413" s="304"/>
      <c r="R413" s="304"/>
      <c r="S413" s="304"/>
      <c r="T413" s="304"/>
      <c r="U413" s="304"/>
      <c r="V413" s="304"/>
      <c r="W413" s="304"/>
      <c r="X413" s="304"/>
      <c r="Y413" s="304"/>
      <c r="Z413" s="304"/>
    </row>
    <row r="414" spans="1:26" x14ac:dyDescent="0.2">
      <c r="A414" s="304"/>
      <c r="B414" s="304"/>
      <c r="C414" s="304"/>
      <c r="D414" s="304"/>
      <c r="E414" s="304"/>
      <c r="F414" s="304"/>
      <c r="G414" s="304"/>
      <c r="H414" s="304"/>
      <c r="I414" s="304"/>
      <c r="J414" s="304"/>
      <c r="K414" s="304"/>
      <c r="L414" s="304"/>
      <c r="M414" s="304"/>
      <c r="N414" s="304"/>
      <c r="O414" s="304"/>
      <c r="P414" s="304"/>
      <c r="Q414" s="304"/>
      <c r="R414" s="304"/>
      <c r="S414" s="304"/>
      <c r="T414" s="304"/>
      <c r="U414" s="304"/>
      <c r="V414" s="304"/>
      <c r="W414" s="304"/>
      <c r="X414" s="304"/>
      <c r="Y414" s="304"/>
      <c r="Z414" s="304"/>
    </row>
    <row r="415" spans="1:26" x14ac:dyDescent="0.2">
      <c r="A415" s="304"/>
      <c r="B415" s="304"/>
      <c r="C415" s="304"/>
      <c r="D415" s="304"/>
      <c r="E415" s="304"/>
      <c r="F415" s="304"/>
      <c r="G415" s="304"/>
      <c r="H415" s="304"/>
      <c r="I415" s="304"/>
      <c r="J415" s="304"/>
      <c r="K415" s="304"/>
      <c r="L415" s="304"/>
      <c r="M415" s="304"/>
      <c r="N415" s="304"/>
      <c r="O415" s="304"/>
      <c r="P415" s="304"/>
      <c r="Q415" s="304"/>
      <c r="R415" s="304"/>
      <c r="S415" s="304"/>
      <c r="T415" s="304"/>
      <c r="U415" s="304"/>
      <c r="V415" s="304"/>
      <c r="W415" s="304"/>
      <c r="X415" s="304"/>
      <c r="Y415" s="304"/>
      <c r="Z415" s="304"/>
    </row>
    <row r="416" spans="1:26" x14ac:dyDescent="0.2">
      <c r="A416" s="304"/>
      <c r="B416" s="304"/>
      <c r="C416" s="304"/>
      <c r="D416" s="304"/>
      <c r="E416" s="304"/>
      <c r="F416" s="304"/>
      <c r="G416" s="304"/>
      <c r="H416" s="304"/>
      <c r="I416" s="304"/>
      <c r="J416" s="304"/>
      <c r="K416" s="304"/>
      <c r="L416" s="304"/>
      <c r="M416" s="304"/>
      <c r="N416" s="304"/>
      <c r="O416" s="304"/>
      <c r="P416" s="304"/>
      <c r="Q416" s="304"/>
      <c r="R416" s="304"/>
      <c r="S416" s="304"/>
      <c r="T416" s="304"/>
      <c r="U416" s="304"/>
      <c r="V416" s="304"/>
      <c r="W416" s="304"/>
      <c r="X416" s="304"/>
      <c r="Y416" s="304"/>
      <c r="Z416" s="304"/>
    </row>
    <row r="417" spans="1:26" x14ac:dyDescent="0.2">
      <c r="A417" s="304"/>
      <c r="B417" s="304"/>
      <c r="C417" s="304"/>
      <c r="D417" s="304"/>
      <c r="E417" s="304"/>
      <c r="F417" s="304"/>
      <c r="G417" s="304"/>
      <c r="H417" s="304"/>
      <c r="I417" s="304"/>
      <c r="J417" s="304"/>
      <c r="K417" s="304"/>
      <c r="L417" s="304"/>
      <c r="M417" s="304"/>
      <c r="N417" s="304"/>
      <c r="O417" s="304"/>
      <c r="P417" s="304"/>
      <c r="Q417" s="304"/>
      <c r="R417" s="304"/>
      <c r="S417" s="304"/>
      <c r="T417" s="304"/>
      <c r="U417" s="304"/>
      <c r="V417" s="304"/>
      <c r="W417" s="304"/>
      <c r="X417" s="304"/>
      <c r="Y417" s="304"/>
      <c r="Z417" s="304"/>
    </row>
    <row r="418" spans="1:26" x14ac:dyDescent="0.2">
      <c r="A418" s="304"/>
      <c r="B418" s="304"/>
      <c r="C418" s="304"/>
      <c r="D418" s="304"/>
      <c r="E418" s="304"/>
      <c r="F418" s="304"/>
      <c r="G418" s="304"/>
      <c r="H418" s="304"/>
      <c r="I418" s="304"/>
      <c r="J418" s="304"/>
      <c r="K418" s="304"/>
      <c r="L418" s="304"/>
      <c r="M418" s="304"/>
      <c r="N418" s="304"/>
      <c r="O418" s="304"/>
      <c r="P418" s="304"/>
      <c r="Q418" s="304"/>
      <c r="R418" s="304"/>
      <c r="S418" s="304"/>
      <c r="T418" s="304"/>
      <c r="U418" s="304"/>
      <c r="V418" s="304"/>
      <c r="W418" s="304"/>
      <c r="X418" s="304"/>
      <c r="Y418" s="304"/>
      <c r="Z418" s="304"/>
    </row>
    <row r="419" spans="1:26" x14ac:dyDescent="0.2">
      <c r="A419" s="304"/>
      <c r="B419" s="304"/>
      <c r="C419" s="304"/>
      <c r="D419" s="304"/>
      <c r="E419" s="304"/>
      <c r="F419" s="304"/>
      <c r="G419" s="304"/>
      <c r="H419" s="304"/>
      <c r="I419" s="304"/>
      <c r="J419" s="304"/>
      <c r="K419" s="304"/>
      <c r="L419" s="304"/>
      <c r="M419" s="304"/>
      <c r="N419" s="304"/>
      <c r="O419" s="304"/>
      <c r="P419" s="304"/>
      <c r="Q419" s="304"/>
      <c r="R419" s="304"/>
      <c r="S419" s="304"/>
      <c r="T419" s="304"/>
      <c r="U419" s="304"/>
      <c r="V419" s="304"/>
      <c r="W419" s="304"/>
      <c r="X419" s="304"/>
      <c r="Y419" s="304"/>
      <c r="Z419" s="304"/>
    </row>
    <row r="420" spans="1:26" x14ac:dyDescent="0.2">
      <c r="A420" s="304"/>
      <c r="B420" s="304"/>
      <c r="C420" s="304"/>
      <c r="D420" s="304"/>
      <c r="E420" s="304"/>
      <c r="F420" s="304"/>
      <c r="G420" s="304"/>
      <c r="H420" s="304"/>
      <c r="I420" s="304"/>
      <c r="J420" s="304"/>
      <c r="K420" s="304"/>
      <c r="L420" s="304"/>
      <c r="M420" s="304"/>
      <c r="N420" s="304"/>
      <c r="O420" s="304"/>
      <c r="P420" s="304"/>
      <c r="Q420" s="304"/>
      <c r="R420" s="304"/>
      <c r="S420" s="304"/>
      <c r="T420" s="304"/>
      <c r="U420" s="304"/>
      <c r="V420" s="304"/>
      <c r="W420" s="304"/>
      <c r="X420" s="304"/>
      <c r="Y420" s="304"/>
      <c r="Z420" s="304"/>
    </row>
    <row r="421" spans="1:26" x14ac:dyDescent="0.2">
      <c r="A421" s="304"/>
      <c r="B421" s="304"/>
      <c r="C421" s="304"/>
      <c r="D421" s="304"/>
      <c r="E421" s="304"/>
      <c r="F421" s="304"/>
      <c r="G421" s="304"/>
      <c r="H421" s="304"/>
      <c r="I421" s="304"/>
      <c r="J421" s="304"/>
      <c r="K421" s="304"/>
      <c r="L421" s="304"/>
      <c r="M421" s="304"/>
      <c r="N421" s="304"/>
      <c r="O421" s="304"/>
      <c r="P421" s="304"/>
      <c r="Q421" s="304"/>
      <c r="R421" s="304"/>
      <c r="S421" s="304"/>
      <c r="T421" s="304"/>
      <c r="U421" s="304"/>
      <c r="V421" s="304"/>
      <c r="W421" s="304"/>
      <c r="X421" s="304"/>
      <c r="Y421" s="304"/>
      <c r="Z421" s="304"/>
    </row>
    <row r="422" spans="1:26" x14ac:dyDescent="0.2">
      <c r="A422" s="304"/>
      <c r="B422" s="304"/>
      <c r="C422" s="304"/>
      <c r="D422" s="304"/>
      <c r="E422" s="304"/>
      <c r="F422" s="304"/>
      <c r="G422" s="304"/>
      <c r="H422" s="304"/>
      <c r="I422" s="304"/>
      <c r="J422" s="304"/>
      <c r="K422" s="304"/>
      <c r="L422" s="304"/>
      <c r="M422" s="304"/>
      <c r="N422" s="304"/>
      <c r="O422" s="304"/>
      <c r="P422" s="304"/>
      <c r="Q422" s="304"/>
      <c r="R422" s="304"/>
      <c r="S422" s="304"/>
      <c r="T422" s="304"/>
      <c r="U422" s="304"/>
      <c r="V422" s="304"/>
      <c r="W422" s="304"/>
      <c r="X422" s="304"/>
      <c r="Y422" s="304"/>
      <c r="Z422" s="304"/>
    </row>
    <row r="423" spans="1:26" x14ac:dyDescent="0.2">
      <c r="A423" s="304"/>
      <c r="B423" s="304"/>
      <c r="C423" s="304"/>
      <c r="D423" s="304"/>
      <c r="E423" s="304"/>
      <c r="F423" s="304"/>
      <c r="G423" s="304"/>
      <c r="H423" s="304"/>
      <c r="I423" s="304"/>
      <c r="J423" s="304"/>
      <c r="K423" s="304"/>
      <c r="L423" s="304"/>
      <c r="M423" s="304"/>
      <c r="N423" s="304"/>
      <c r="O423" s="304"/>
      <c r="P423" s="304"/>
      <c r="Q423" s="304"/>
      <c r="R423" s="304"/>
      <c r="S423" s="304"/>
      <c r="T423" s="304"/>
      <c r="U423" s="304"/>
      <c r="V423" s="304"/>
      <c r="W423" s="304"/>
      <c r="X423" s="304"/>
      <c r="Y423" s="304"/>
      <c r="Z423" s="304"/>
    </row>
    <row r="424" spans="1:26" x14ac:dyDescent="0.2">
      <c r="A424" s="304"/>
      <c r="B424" s="304"/>
      <c r="C424" s="304"/>
      <c r="D424" s="304"/>
      <c r="E424" s="304"/>
      <c r="F424" s="304"/>
      <c r="G424" s="304"/>
      <c r="H424" s="304"/>
      <c r="I424" s="304"/>
      <c r="J424" s="304"/>
      <c r="K424" s="304"/>
      <c r="L424" s="304"/>
      <c r="M424" s="304"/>
      <c r="N424" s="304"/>
      <c r="O424" s="304"/>
      <c r="P424" s="304"/>
      <c r="Q424" s="304"/>
      <c r="R424" s="304"/>
      <c r="S424" s="304"/>
      <c r="T424" s="304"/>
      <c r="U424" s="304"/>
      <c r="V424" s="304"/>
      <c r="W424" s="304"/>
      <c r="X424" s="304"/>
      <c r="Y424" s="304"/>
      <c r="Z424" s="304"/>
    </row>
    <row r="425" spans="1:26" x14ac:dyDescent="0.2">
      <c r="A425" s="304"/>
      <c r="B425" s="304"/>
      <c r="C425" s="304"/>
      <c r="D425" s="304"/>
      <c r="E425" s="304"/>
      <c r="F425" s="304"/>
      <c r="G425" s="304"/>
      <c r="H425" s="304"/>
      <c r="I425" s="304"/>
      <c r="J425" s="304"/>
      <c r="K425" s="304"/>
      <c r="L425" s="304"/>
      <c r="M425" s="304"/>
      <c r="N425" s="304"/>
      <c r="O425" s="304"/>
      <c r="P425" s="304"/>
      <c r="Q425" s="304"/>
      <c r="R425" s="304"/>
      <c r="S425" s="304"/>
      <c r="T425" s="304"/>
      <c r="U425" s="304"/>
      <c r="V425" s="304"/>
      <c r="W425" s="304"/>
      <c r="X425" s="304"/>
      <c r="Y425" s="304"/>
      <c r="Z425" s="304"/>
    </row>
    <row r="426" spans="1:26" x14ac:dyDescent="0.2">
      <c r="A426" s="304"/>
      <c r="B426" s="304"/>
      <c r="C426" s="304"/>
      <c r="D426" s="304"/>
      <c r="E426" s="304"/>
      <c r="F426" s="304"/>
      <c r="G426" s="304"/>
      <c r="H426" s="304"/>
      <c r="I426" s="304"/>
      <c r="J426" s="304"/>
      <c r="K426" s="304"/>
      <c r="L426" s="304"/>
      <c r="M426" s="304"/>
      <c r="N426" s="304"/>
      <c r="O426" s="304"/>
      <c r="P426" s="304"/>
      <c r="Q426" s="304"/>
      <c r="R426" s="304"/>
      <c r="S426" s="304"/>
      <c r="T426" s="304"/>
      <c r="U426" s="304"/>
      <c r="V426" s="304"/>
      <c r="W426" s="304"/>
      <c r="X426" s="304"/>
      <c r="Y426" s="304"/>
      <c r="Z426" s="304"/>
    </row>
    <row r="427" spans="1:26" x14ac:dyDescent="0.2">
      <c r="A427" s="304"/>
      <c r="B427" s="304"/>
      <c r="C427" s="304"/>
      <c r="D427" s="304"/>
      <c r="E427" s="304"/>
      <c r="F427" s="304"/>
      <c r="G427" s="304"/>
      <c r="H427" s="304"/>
      <c r="I427" s="304"/>
      <c r="J427" s="304"/>
      <c r="K427" s="304"/>
      <c r="L427" s="304"/>
      <c r="M427" s="304"/>
      <c r="N427" s="304"/>
      <c r="O427" s="304"/>
      <c r="P427" s="304"/>
      <c r="Q427" s="304"/>
      <c r="R427" s="304"/>
      <c r="S427" s="304"/>
      <c r="T427" s="304"/>
      <c r="U427" s="304"/>
      <c r="V427" s="304"/>
      <c r="W427" s="304"/>
      <c r="X427" s="304"/>
      <c r="Y427" s="304"/>
      <c r="Z427" s="304"/>
    </row>
    <row r="428" spans="1:26" x14ac:dyDescent="0.2">
      <c r="A428" s="304"/>
      <c r="B428" s="304"/>
      <c r="C428" s="304"/>
      <c r="D428" s="304"/>
      <c r="E428" s="304"/>
      <c r="F428" s="304"/>
      <c r="G428" s="304"/>
      <c r="H428" s="304"/>
      <c r="I428" s="304"/>
      <c r="J428" s="304"/>
      <c r="K428" s="304"/>
      <c r="L428" s="304"/>
      <c r="M428" s="304"/>
      <c r="N428" s="304"/>
      <c r="O428" s="304"/>
      <c r="P428" s="304"/>
      <c r="Q428" s="304"/>
      <c r="R428" s="304"/>
      <c r="S428" s="304"/>
      <c r="T428" s="304"/>
      <c r="U428" s="304"/>
      <c r="V428" s="304"/>
      <c r="W428" s="304"/>
      <c r="X428" s="304"/>
      <c r="Y428" s="304"/>
      <c r="Z428" s="304"/>
    </row>
    <row r="429" spans="1:26" x14ac:dyDescent="0.2">
      <c r="A429" s="304"/>
      <c r="B429" s="304"/>
      <c r="C429" s="304"/>
      <c r="D429" s="304"/>
      <c r="E429" s="304"/>
      <c r="F429" s="304"/>
      <c r="G429" s="304"/>
      <c r="H429" s="304"/>
      <c r="I429" s="304"/>
      <c r="J429" s="304"/>
      <c r="K429" s="304"/>
      <c r="L429" s="304"/>
      <c r="M429" s="304"/>
      <c r="N429" s="304"/>
      <c r="O429" s="304"/>
      <c r="P429" s="304"/>
      <c r="Q429" s="304"/>
      <c r="R429" s="304"/>
      <c r="S429" s="304"/>
      <c r="T429" s="304"/>
      <c r="U429" s="304"/>
      <c r="V429" s="304"/>
      <c r="W429" s="304"/>
      <c r="X429" s="304"/>
      <c r="Y429" s="304"/>
      <c r="Z429" s="304"/>
    </row>
    <row r="430" spans="1:26" x14ac:dyDescent="0.2">
      <c r="A430" s="304"/>
      <c r="B430" s="304"/>
      <c r="C430" s="304"/>
      <c r="D430" s="304"/>
      <c r="E430" s="304"/>
      <c r="F430" s="304"/>
      <c r="G430" s="304"/>
      <c r="H430" s="304"/>
      <c r="I430" s="304"/>
      <c r="J430" s="304"/>
      <c r="K430" s="304"/>
      <c r="L430" s="304"/>
      <c r="M430" s="304"/>
      <c r="N430" s="304"/>
      <c r="O430" s="304"/>
      <c r="P430" s="304"/>
      <c r="Q430" s="304"/>
      <c r="R430" s="304"/>
      <c r="S430" s="304"/>
      <c r="T430" s="304"/>
      <c r="U430" s="304"/>
      <c r="V430" s="304"/>
      <c r="W430" s="304"/>
      <c r="X430" s="304"/>
      <c r="Y430" s="304"/>
      <c r="Z430" s="304"/>
    </row>
    <row r="431" spans="1:26" x14ac:dyDescent="0.2">
      <c r="A431" s="304"/>
      <c r="B431" s="304"/>
      <c r="C431" s="304"/>
      <c r="D431" s="304"/>
      <c r="E431" s="304"/>
      <c r="F431" s="304"/>
      <c r="G431" s="304"/>
      <c r="H431" s="304"/>
      <c r="I431" s="304"/>
      <c r="J431" s="304"/>
      <c r="K431" s="304"/>
      <c r="L431" s="304"/>
      <c r="M431" s="304"/>
      <c r="N431" s="304"/>
      <c r="O431" s="304"/>
      <c r="P431" s="304"/>
      <c r="Q431" s="304"/>
      <c r="R431" s="304"/>
      <c r="S431" s="304"/>
      <c r="T431" s="304"/>
      <c r="U431" s="304"/>
      <c r="V431" s="304"/>
      <c r="W431" s="304"/>
      <c r="X431" s="304"/>
      <c r="Y431" s="304"/>
      <c r="Z431" s="304"/>
    </row>
    <row r="432" spans="1:26" x14ac:dyDescent="0.2">
      <c r="A432" s="304"/>
      <c r="B432" s="304"/>
      <c r="C432" s="304"/>
      <c r="D432" s="304"/>
      <c r="E432" s="304"/>
      <c r="F432" s="304"/>
      <c r="G432" s="304"/>
      <c r="H432" s="304"/>
      <c r="I432" s="304"/>
      <c r="J432" s="304"/>
      <c r="K432" s="304"/>
      <c r="L432" s="304"/>
      <c r="M432" s="304"/>
      <c r="N432" s="304"/>
      <c r="O432" s="304"/>
      <c r="P432" s="304"/>
      <c r="Q432" s="304"/>
      <c r="R432" s="304"/>
      <c r="S432" s="304"/>
      <c r="T432" s="304"/>
      <c r="U432" s="304"/>
      <c r="V432" s="304"/>
      <c r="W432" s="304"/>
      <c r="X432" s="304"/>
      <c r="Y432" s="304"/>
      <c r="Z432" s="304"/>
    </row>
    <row r="433" spans="1:26" x14ac:dyDescent="0.2">
      <c r="A433" s="304"/>
      <c r="B433" s="304"/>
      <c r="C433" s="304"/>
      <c r="D433" s="304"/>
      <c r="E433" s="304"/>
      <c r="F433" s="304"/>
      <c r="G433" s="304"/>
      <c r="H433" s="304"/>
      <c r="I433" s="304"/>
      <c r="J433" s="304"/>
      <c r="K433" s="304"/>
      <c r="L433" s="304"/>
      <c r="M433" s="304"/>
      <c r="N433" s="304"/>
      <c r="O433" s="304"/>
      <c r="P433" s="304"/>
      <c r="Q433" s="304"/>
      <c r="R433" s="304"/>
      <c r="S433" s="304"/>
      <c r="T433" s="304"/>
      <c r="U433" s="304"/>
      <c r="V433" s="304"/>
      <c r="W433" s="304"/>
      <c r="X433" s="304"/>
      <c r="Y433" s="304"/>
      <c r="Z433" s="304"/>
    </row>
    <row r="434" spans="1:26" x14ac:dyDescent="0.2">
      <c r="A434" s="304"/>
      <c r="B434" s="304"/>
      <c r="C434" s="304"/>
      <c r="D434" s="304"/>
      <c r="E434" s="304"/>
      <c r="F434" s="304"/>
      <c r="G434" s="304"/>
      <c r="H434" s="304"/>
      <c r="I434" s="304"/>
      <c r="J434" s="304"/>
      <c r="K434" s="304"/>
      <c r="L434" s="304"/>
      <c r="M434" s="304"/>
      <c r="N434" s="304"/>
      <c r="O434" s="304"/>
      <c r="P434" s="304"/>
      <c r="Q434" s="304"/>
      <c r="R434" s="304"/>
      <c r="S434" s="304"/>
      <c r="T434" s="304"/>
      <c r="U434" s="304"/>
      <c r="V434" s="304"/>
      <c r="W434" s="304"/>
      <c r="X434" s="304"/>
      <c r="Y434" s="304"/>
      <c r="Z434" s="304"/>
    </row>
    <row r="435" spans="1:26" x14ac:dyDescent="0.2">
      <c r="A435" s="304"/>
      <c r="B435" s="304"/>
      <c r="C435" s="304"/>
      <c r="D435" s="304"/>
      <c r="E435" s="304"/>
      <c r="F435" s="304"/>
      <c r="G435" s="304"/>
      <c r="H435" s="304"/>
      <c r="I435" s="304"/>
      <c r="J435" s="304"/>
      <c r="K435" s="304"/>
      <c r="L435" s="304"/>
      <c r="M435" s="304"/>
      <c r="N435" s="304"/>
      <c r="O435" s="304"/>
      <c r="P435" s="304"/>
      <c r="Q435" s="304"/>
      <c r="R435" s="304"/>
      <c r="S435" s="304"/>
      <c r="T435" s="304"/>
      <c r="U435" s="304"/>
      <c r="V435" s="304"/>
      <c r="W435" s="304"/>
      <c r="X435" s="304"/>
      <c r="Y435" s="304"/>
      <c r="Z435" s="304"/>
    </row>
    <row r="436" spans="1:26" x14ac:dyDescent="0.2">
      <c r="A436" s="304"/>
      <c r="B436" s="304"/>
      <c r="C436" s="304"/>
      <c r="D436" s="304"/>
      <c r="E436" s="304"/>
      <c r="F436" s="304"/>
      <c r="G436" s="304"/>
      <c r="H436" s="304"/>
      <c r="I436" s="304"/>
      <c r="J436" s="304"/>
      <c r="K436" s="304"/>
      <c r="L436" s="304"/>
      <c r="M436" s="304"/>
      <c r="N436" s="304"/>
      <c r="O436" s="304"/>
      <c r="P436" s="304"/>
      <c r="Q436" s="304"/>
      <c r="R436" s="304"/>
      <c r="S436" s="304"/>
      <c r="T436" s="304"/>
      <c r="U436" s="304"/>
      <c r="V436" s="304"/>
      <c r="W436" s="304"/>
      <c r="X436" s="304"/>
      <c r="Y436" s="304"/>
      <c r="Z436" s="304"/>
    </row>
    <row r="437" spans="1:26" x14ac:dyDescent="0.2">
      <c r="A437" s="304"/>
      <c r="B437" s="304"/>
      <c r="C437" s="304"/>
      <c r="D437" s="304"/>
      <c r="E437" s="304"/>
      <c r="F437" s="304"/>
      <c r="G437" s="304"/>
      <c r="H437" s="304"/>
      <c r="I437" s="304"/>
      <c r="J437" s="304"/>
      <c r="K437" s="304"/>
      <c r="L437" s="304"/>
      <c r="M437" s="304"/>
      <c r="N437" s="304"/>
      <c r="O437" s="304"/>
      <c r="P437" s="304"/>
      <c r="Q437" s="304"/>
      <c r="R437" s="304"/>
      <c r="S437" s="304"/>
      <c r="T437" s="304"/>
      <c r="U437" s="304"/>
      <c r="V437" s="304"/>
      <c r="W437" s="304"/>
      <c r="X437" s="304"/>
      <c r="Y437" s="304"/>
      <c r="Z437" s="304"/>
    </row>
    <row r="438" spans="1:26" x14ac:dyDescent="0.2">
      <c r="A438" s="304"/>
      <c r="B438" s="304"/>
      <c r="C438" s="304"/>
      <c r="D438" s="304"/>
      <c r="E438" s="304"/>
      <c r="F438" s="304"/>
      <c r="G438" s="304"/>
      <c r="H438" s="304"/>
      <c r="I438" s="304"/>
      <c r="J438" s="304"/>
      <c r="K438" s="304"/>
      <c r="L438" s="304"/>
      <c r="M438" s="304"/>
      <c r="N438" s="304"/>
      <c r="O438" s="304"/>
      <c r="P438" s="304"/>
      <c r="Q438" s="304"/>
      <c r="R438" s="304"/>
      <c r="S438" s="304"/>
      <c r="T438" s="304"/>
      <c r="U438" s="304"/>
      <c r="V438" s="304"/>
      <c r="W438" s="304"/>
      <c r="X438" s="304"/>
      <c r="Y438" s="304"/>
      <c r="Z438" s="304"/>
    </row>
    <row r="439" spans="1:26" x14ac:dyDescent="0.2">
      <c r="A439" s="304"/>
      <c r="B439" s="304"/>
      <c r="C439" s="304"/>
      <c r="D439" s="304"/>
      <c r="E439" s="304"/>
      <c r="F439" s="304"/>
      <c r="G439" s="304"/>
      <c r="H439" s="304"/>
      <c r="I439" s="304"/>
      <c r="J439" s="304"/>
      <c r="K439" s="304"/>
      <c r="L439" s="304"/>
      <c r="M439" s="304"/>
      <c r="N439" s="304"/>
      <c r="O439" s="304"/>
      <c r="P439" s="304"/>
      <c r="Q439" s="304"/>
      <c r="R439" s="304"/>
      <c r="S439" s="304"/>
      <c r="T439" s="304"/>
      <c r="U439" s="304"/>
      <c r="V439" s="304"/>
      <c r="W439" s="304"/>
      <c r="X439" s="304"/>
      <c r="Y439" s="304"/>
      <c r="Z439" s="304"/>
    </row>
    <row r="440" spans="1:26" x14ac:dyDescent="0.2">
      <c r="A440" s="304"/>
      <c r="B440" s="304"/>
      <c r="C440" s="304"/>
      <c r="D440" s="304"/>
      <c r="E440" s="304"/>
      <c r="F440" s="304"/>
      <c r="G440" s="304"/>
      <c r="H440" s="304"/>
      <c r="I440" s="304"/>
      <c r="J440" s="304"/>
      <c r="K440" s="304"/>
      <c r="L440" s="304"/>
      <c r="M440" s="304"/>
      <c r="N440" s="304"/>
      <c r="O440" s="304"/>
      <c r="P440" s="304"/>
      <c r="Q440" s="304"/>
      <c r="R440" s="304"/>
      <c r="S440" s="304"/>
      <c r="T440" s="304"/>
      <c r="U440" s="304"/>
      <c r="V440" s="304"/>
      <c r="W440" s="304"/>
      <c r="X440" s="304"/>
      <c r="Y440" s="304"/>
      <c r="Z440" s="304"/>
    </row>
    <row r="441" spans="1:26" x14ac:dyDescent="0.2">
      <c r="A441" s="304"/>
      <c r="B441" s="304"/>
      <c r="C441" s="304"/>
      <c r="D441" s="304"/>
      <c r="E441" s="304"/>
      <c r="F441" s="304"/>
      <c r="G441" s="304"/>
      <c r="H441" s="304"/>
      <c r="I441" s="304"/>
      <c r="J441" s="304"/>
      <c r="K441" s="304"/>
      <c r="L441" s="304"/>
      <c r="M441" s="304"/>
      <c r="N441" s="304"/>
      <c r="O441" s="304"/>
      <c r="P441" s="304"/>
      <c r="Q441" s="304"/>
      <c r="R441" s="304"/>
      <c r="S441" s="304"/>
      <c r="T441" s="304"/>
      <c r="U441" s="304"/>
      <c r="V441" s="304"/>
      <c r="W441" s="304"/>
      <c r="X441" s="304"/>
      <c r="Y441" s="304"/>
      <c r="Z441" s="304"/>
    </row>
    <row r="442" spans="1:26" x14ac:dyDescent="0.2">
      <c r="A442" s="304"/>
      <c r="B442" s="304"/>
      <c r="C442" s="304"/>
      <c r="D442" s="304"/>
      <c r="E442" s="304"/>
      <c r="F442" s="304"/>
      <c r="G442" s="304"/>
      <c r="H442" s="304"/>
      <c r="I442" s="304"/>
      <c r="J442" s="304"/>
      <c r="K442" s="304"/>
      <c r="L442" s="304"/>
      <c r="M442" s="304"/>
      <c r="N442" s="304"/>
      <c r="O442" s="304"/>
      <c r="P442" s="304"/>
      <c r="Q442" s="304"/>
      <c r="R442" s="304"/>
      <c r="S442" s="304"/>
      <c r="T442" s="304"/>
      <c r="U442" s="304"/>
      <c r="V442" s="304"/>
      <c r="W442" s="304"/>
      <c r="X442" s="304"/>
      <c r="Y442" s="304"/>
      <c r="Z442" s="304"/>
    </row>
    <row r="443" spans="1:26" x14ac:dyDescent="0.2">
      <c r="A443" s="304"/>
      <c r="B443" s="304"/>
      <c r="C443" s="304"/>
      <c r="D443" s="304"/>
      <c r="E443" s="304"/>
      <c r="F443" s="304"/>
      <c r="G443" s="304"/>
      <c r="H443" s="304"/>
      <c r="I443" s="304"/>
      <c r="J443" s="304"/>
      <c r="K443" s="304"/>
      <c r="L443" s="304"/>
      <c r="M443" s="304"/>
      <c r="N443" s="304"/>
      <c r="O443" s="304"/>
      <c r="P443" s="304"/>
      <c r="Q443" s="304"/>
      <c r="R443" s="304"/>
      <c r="S443" s="304"/>
      <c r="T443" s="304"/>
      <c r="U443" s="304"/>
      <c r="V443" s="304"/>
      <c r="W443" s="304"/>
      <c r="X443" s="304"/>
      <c r="Y443" s="304"/>
      <c r="Z443" s="304"/>
    </row>
    <row r="444" spans="1:26" x14ac:dyDescent="0.2">
      <c r="A444" s="304"/>
      <c r="B444" s="304"/>
      <c r="C444" s="304"/>
      <c r="D444" s="304"/>
      <c r="E444" s="304"/>
      <c r="F444" s="304"/>
      <c r="G444" s="304"/>
      <c r="H444" s="304"/>
      <c r="I444" s="304"/>
      <c r="J444" s="304"/>
      <c r="K444" s="304"/>
      <c r="L444" s="304"/>
      <c r="M444" s="304"/>
      <c r="N444" s="304"/>
      <c r="O444" s="304"/>
      <c r="P444" s="304"/>
      <c r="Q444" s="304"/>
      <c r="R444" s="304"/>
      <c r="S444" s="304"/>
      <c r="T444" s="304"/>
      <c r="U444" s="304"/>
      <c r="V444" s="304"/>
      <c r="W444" s="304"/>
      <c r="X444" s="304"/>
      <c r="Y444" s="304"/>
      <c r="Z444" s="304"/>
    </row>
    <row r="445" spans="1:26" x14ac:dyDescent="0.2">
      <c r="A445" s="304"/>
      <c r="B445" s="304"/>
      <c r="C445" s="304"/>
      <c r="D445" s="304"/>
      <c r="E445" s="304"/>
      <c r="F445" s="304"/>
      <c r="G445" s="304"/>
      <c r="H445" s="304"/>
      <c r="I445" s="304"/>
      <c r="J445" s="304"/>
      <c r="K445" s="304"/>
      <c r="L445" s="304"/>
      <c r="M445" s="304"/>
      <c r="N445" s="304"/>
      <c r="O445" s="304"/>
      <c r="P445" s="304"/>
      <c r="Q445" s="304"/>
      <c r="R445" s="304"/>
      <c r="S445" s="304"/>
      <c r="T445" s="304"/>
      <c r="U445" s="304"/>
      <c r="V445" s="304"/>
      <c r="W445" s="304"/>
      <c r="X445" s="304"/>
      <c r="Y445" s="304"/>
      <c r="Z445" s="304"/>
    </row>
    <row r="446" spans="1:26" x14ac:dyDescent="0.2">
      <c r="A446" s="304"/>
      <c r="B446" s="304"/>
      <c r="C446" s="304"/>
      <c r="D446" s="304"/>
      <c r="E446" s="304"/>
      <c r="F446" s="304"/>
      <c r="G446" s="304"/>
      <c r="H446" s="304"/>
      <c r="I446" s="304"/>
      <c r="J446" s="304"/>
      <c r="K446" s="304"/>
      <c r="L446" s="304"/>
      <c r="M446" s="304"/>
      <c r="N446" s="304"/>
      <c r="O446" s="304"/>
      <c r="P446" s="304"/>
      <c r="Q446" s="304"/>
      <c r="R446" s="304"/>
      <c r="S446" s="304"/>
      <c r="T446" s="304"/>
      <c r="U446" s="304"/>
      <c r="V446" s="304"/>
      <c r="W446" s="304"/>
      <c r="X446" s="304"/>
      <c r="Y446" s="304"/>
      <c r="Z446" s="304"/>
    </row>
    <row r="447" spans="1:26" x14ac:dyDescent="0.2">
      <c r="A447" s="304"/>
      <c r="B447" s="304"/>
      <c r="C447" s="304"/>
      <c r="D447" s="304"/>
      <c r="E447" s="304"/>
      <c r="F447" s="304"/>
      <c r="G447" s="304"/>
      <c r="H447" s="304"/>
      <c r="I447" s="304"/>
      <c r="J447" s="304"/>
      <c r="K447" s="304"/>
      <c r="L447" s="304"/>
      <c r="M447" s="304"/>
      <c r="N447" s="304"/>
      <c r="O447" s="304"/>
      <c r="P447" s="304"/>
      <c r="Q447" s="304"/>
      <c r="R447" s="304"/>
      <c r="S447" s="304"/>
      <c r="T447" s="304"/>
      <c r="U447" s="304"/>
      <c r="V447" s="304"/>
      <c r="W447" s="304"/>
      <c r="X447" s="304"/>
      <c r="Y447" s="304"/>
      <c r="Z447" s="304"/>
    </row>
    <row r="448" spans="1:26" x14ac:dyDescent="0.2">
      <c r="A448" s="304"/>
      <c r="B448" s="304"/>
      <c r="C448" s="304"/>
      <c r="D448" s="304"/>
      <c r="E448" s="304"/>
      <c r="F448" s="304"/>
      <c r="G448" s="304"/>
      <c r="H448" s="304"/>
      <c r="I448" s="304"/>
      <c r="J448" s="304"/>
      <c r="K448" s="304"/>
      <c r="L448" s="304"/>
      <c r="M448" s="304"/>
      <c r="N448" s="304"/>
      <c r="O448" s="304"/>
      <c r="P448" s="304"/>
      <c r="Q448" s="304"/>
      <c r="R448" s="304"/>
      <c r="S448" s="304"/>
      <c r="T448" s="304"/>
      <c r="U448" s="304"/>
      <c r="V448" s="304"/>
      <c r="W448" s="304"/>
      <c r="X448" s="304"/>
      <c r="Y448" s="304"/>
      <c r="Z448" s="304"/>
    </row>
    <row r="449" spans="1:26" x14ac:dyDescent="0.2">
      <c r="A449" s="304"/>
      <c r="B449" s="304"/>
      <c r="C449" s="304"/>
      <c r="D449" s="304"/>
      <c r="E449" s="304"/>
      <c r="F449" s="304"/>
      <c r="G449" s="304"/>
      <c r="H449" s="304"/>
      <c r="I449" s="304"/>
      <c r="J449" s="304"/>
      <c r="K449" s="304"/>
      <c r="L449" s="304"/>
      <c r="M449" s="304"/>
      <c r="N449" s="304"/>
      <c r="O449" s="304"/>
      <c r="P449" s="304"/>
      <c r="Q449" s="304"/>
      <c r="R449" s="304"/>
      <c r="S449" s="304"/>
      <c r="T449" s="304"/>
      <c r="U449" s="304"/>
      <c r="V449" s="304"/>
      <c r="W449" s="304"/>
      <c r="X449" s="304"/>
      <c r="Y449" s="304"/>
      <c r="Z449" s="304"/>
    </row>
    <row r="450" spans="1:26" x14ac:dyDescent="0.2">
      <c r="A450" s="304"/>
      <c r="B450" s="304"/>
      <c r="C450" s="304"/>
      <c r="D450" s="304"/>
      <c r="E450" s="304"/>
      <c r="F450" s="304"/>
      <c r="G450" s="304"/>
      <c r="H450" s="304"/>
      <c r="I450" s="304"/>
      <c r="J450" s="304"/>
      <c r="K450" s="304"/>
      <c r="L450" s="304"/>
      <c r="M450" s="304"/>
      <c r="N450" s="304"/>
      <c r="O450" s="304"/>
      <c r="P450" s="304"/>
      <c r="Q450" s="304"/>
      <c r="R450" s="304"/>
      <c r="S450" s="304"/>
      <c r="T450" s="304"/>
      <c r="U450" s="304"/>
      <c r="V450" s="304"/>
      <c r="W450" s="304"/>
      <c r="X450" s="304"/>
      <c r="Y450" s="304"/>
      <c r="Z450" s="304"/>
    </row>
    <row r="451" spans="1:26" x14ac:dyDescent="0.2">
      <c r="A451" s="304"/>
      <c r="B451" s="304"/>
      <c r="C451" s="304"/>
      <c r="D451" s="304"/>
      <c r="E451" s="304"/>
      <c r="F451" s="304"/>
      <c r="G451" s="304"/>
      <c r="H451" s="304"/>
      <c r="I451" s="304"/>
      <c r="J451" s="304"/>
      <c r="K451" s="304"/>
      <c r="L451" s="304"/>
      <c r="M451" s="304"/>
      <c r="N451" s="304"/>
      <c r="O451" s="304"/>
      <c r="P451" s="304"/>
      <c r="Q451" s="304"/>
      <c r="R451" s="304"/>
      <c r="S451" s="304"/>
      <c r="T451" s="304"/>
      <c r="U451" s="304"/>
      <c r="V451" s="304"/>
      <c r="W451" s="304"/>
      <c r="X451" s="304"/>
      <c r="Y451" s="304"/>
      <c r="Z451" s="304"/>
    </row>
    <row r="452" spans="1:26" x14ac:dyDescent="0.2">
      <c r="A452" s="304"/>
      <c r="B452" s="304"/>
      <c r="C452" s="304"/>
      <c r="D452" s="304"/>
      <c r="E452" s="304"/>
      <c r="F452" s="304"/>
      <c r="G452" s="304"/>
      <c r="H452" s="304"/>
      <c r="I452" s="304"/>
      <c r="J452" s="304"/>
      <c r="K452" s="304"/>
      <c r="L452" s="304"/>
      <c r="M452" s="304"/>
      <c r="N452" s="304"/>
      <c r="O452" s="304"/>
      <c r="P452" s="304"/>
      <c r="Q452" s="304"/>
      <c r="R452" s="304"/>
      <c r="S452" s="304"/>
      <c r="T452" s="304"/>
      <c r="U452" s="304"/>
      <c r="V452" s="304"/>
      <c r="W452" s="304"/>
      <c r="X452" s="304"/>
      <c r="Y452" s="304"/>
      <c r="Z452" s="304"/>
    </row>
    <row r="453" spans="1:26" x14ac:dyDescent="0.2">
      <c r="A453" s="304"/>
      <c r="B453" s="304"/>
      <c r="C453" s="304"/>
      <c r="D453" s="304"/>
      <c r="E453" s="304"/>
      <c r="F453" s="304"/>
      <c r="G453" s="304"/>
      <c r="H453" s="304"/>
      <c r="I453" s="304"/>
      <c r="J453" s="304"/>
      <c r="K453" s="304"/>
      <c r="L453" s="304"/>
      <c r="M453" s="304"/>
      <c r="N453" s="304"/>
      <c r="O453" s="304"/>
      <c r="P453" s="304"/>
      <c r="Q453" s="304"/>
      <c r="R453" s="304"/>
      <c r="S453" s="304"/>
      <c r="T453" s="304"/>
      <c r="U453" s="304"/>
      <c r="V453" s="304"/>
      <c r="W453" s="304"/>
      <c r="X453" s="304"/>
      <c r="Y453" s="304"/>
      <c r="Z453" s="304"/>
    </row>
    <row r="454" spans="1:26" x14ac:dyDescent="0.2">
      <c r="A454" s="304"/>
      <c r="B454" s="304"/>
      <c r="C454" s="304"/>
      <c r="D454" s="304"/>
      <c r="E454" s="304"/>
      <c r="F454" s="304"/>
      <c r="G454" s="304"/>
      <c r="H454" s="304"/>
      <c r="I454" s="304"/>
      <c r="J454" s="304"/>
      <c r="K454" s="304"/>
      <c r="L454" s="304"/>
      <c r="M454" s="304"/>
      <c r="N454" s="304"/>
      <c r="O454" s="304"/>
      <c r="P454" s="304"/>
      <c r="Q454" s="304"/>
      <c r="R454" s="304"/>
      <c r="S454" s="304"/>
      <c r="T454" s="304"/>
      <c r="U454" s="304"/>
      <c r="V454" s="304"/>
      <c r="W454" s="304"/>
      <c r="X454" s="304"/>
      <c r="Y454" s="304"/>
      <c r="Z454" s="304"/>
    </row>
    <row r="455" spans="1:26" x14ac:dyDescent="0.2">
      <c r="A455" s="304"/>
      <c r="B455" s="304"/>
      <c r="C455" s="304"/>
      <c r="D455" s="304"/>
      <c r="E455" s="304"/>
      <c r="F455" s="304"/>
      <c r="G455" s="304"/>
      <c r="H455" s="304"/>
      <c r="I455" s="304"/>
      <c r="J455" s="304"/>
      <c r="K455" s="304"/>
      <c r="L455" s="304"/>
      <c r="M455" s="304"/>
      <c r="N455" s="304"/>
      <c r="O455" s="304"/>
      <c r="P455" s="304"/>
      <c r="Q455" s="304"/>
      <c r="R455" s="304"/>
      <c r="S455" s="304"/>
      <c r="T455" s="304"/>
      <c r="U455" s="304"/>
      <c r="V455" s="304"/>
      <c r="W455" s="304"/>
      <c r="X455" s="304"/>
      <c r="Y455" s="304"/>
      <c r="Z455" s="304"/>
    </row>
    <row r="456" spans="1:26" x14ac:dyDescent="0.2">
      <c r="A456" s="304"/>
      <c r="B456" s="304"/>
      <c r="C456" s="304"/>
      <c r="D456" s="304"/>
      <c r="E456" s="304"/>
      <c r="F456" s="304"/>
      <c r="G456" s="304"/>
      <c r="H456" s="304"/>
      <c r="I456" s="304"/>
      <c r="J456" s="304"/>
      <c r="K456" s="304"/>
      <c r="L456" s="304"/>
      <c r="M456" s="304"/>
      <c r="N456" s="304"/>
      <c r="O456" s="304"/>
      <c r="P456" s="304"/>
      <c r="Q456" s="304"/>
      <c r="R456" s="304"/>
      <c r="S456" s="304"/>
      <c r="T456" s="304"/>
      <c r="U456" s="304"/>
      <c r="V456" s="304"/>
      <c r="W456" s="304"/>
      <c r="X456" s="304"/>
      <c r="Y456" s="304"/>
      <c r="Z456" s="304"/>
    </row>
    <row r="457" spans="1:26" x14ac:dyDescent="0.2">
      <c r="A457" s="304"/>
      <c r="B457" s="304"/>
      <c r="C457" s="304"/>
      <c r="D457" s="304"/>
      <c r="E457" s="304"/>
      <c r="F457" s="304"/>
      <c r="G457" s="304"/>
      <c r="H457" s="304"/>
      <c r="I457" s="304"/>
      <c r="J457" s="304"/>
      <c r="K457" s="304"/>
      <c r="L457" s="304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04"/>
      <c r="Y457" s="304"/>
      <c r="Z457" s="304"/>
    </row>
    <row r="458" spans="1:26" x14ac:dyDescent="0.2">
      <c r="A458" s="304"/>
      <c r="B458" s="304"/>
      <c r="C458" s="304"/>
      <c r="D458" s="304"/>
      <c r="E458" s="304"/>
      <c r="F458" s="304"/>
      <c r="G458" s="304"/>
      <c r="H458" s="304"/>
      <c r="I458" s="304"/>
      <c r="J458" s="304"/>
      <c r="K458" s="304"/>
      <c r="L458" s="304"/>
      <c r="M458" s="304"/>
      <c r="N458" s="304"/>
      <c r="O458" s="304"/>
      <c r="P458" s="304"/>
      <c r="Q458" s="304"/>
      <c r="R458" s="304"/>
      <c r="S458" s="304"/>
      <c r="T458" s="304"/>
      <c r="U458" s="304"/>
      <c r="V458" s="304"/>
      <c r="W458" s="304"/>
      <c r="X458" s="304"/>
      <c r="Y458" s="304"/>
      <c r="Z458" s="304"/>
    </row>
    <row r="459" spans="1:26" x14ac:dyDescent="0.2">
      <c r="A459" s="304"/>
      <c r="B459" s="304"/>
      <c r="C459" s="304"/>
      <c r="D459" s="304"/>
      <c r="E459" s="304"/>
      <c r="F459" s="304"/>
      <c r="G459" s="304"/>
      <c r="H459" s="304"/>
      <c r="I459" s="304"/>
      <c r="J459" s="304"/>
      <c r="K459" s="304"/>
      <c r="L459" s="304"/>
      <c r="M459" s="304"/>
      <c r="N459" s="304"/>
      <c r="O459" s="304"/>
      <c r="P459" s="304"/>
      <c r="Q459" s="304"/>
      <c r="R459" s="304"/>
      <c r="S459" s="304"/>
      <c r="T459" s="304"/>
      <c r="U459" s="304"/>
      <c r="V459" s="304"/>
      <c r="W459" s="304"/>
      <c r="X459" s="304"/>
      <c r="Y459" s="304"/>
      <c r="Z459" s="304"/>
    </row>
    <row r="460" spans="1:26" x14ac:dyDescent="0.2">
      <c r="A460" s="304"/>
      <c r="B460" s="304"/>
      <c r="C460" s="304"/>
      <c r="D460" s="304"/>
      <c r="E460" s="304"/>
      <c r="F460" s="304"/>
      <c r="G460" s="304"/>
      <c r="H460" s="304"/>
      <c r="I460" s="304"/>
      <c r="J460" s="304"/>
      <c r="K460" s="304"/>
      <c r="L460" s="304"/>
      <c r="M460" s="304"/>
      <c r="N460" s="304"/>
      <c r="O460" s="304"/>
      <c r="P460" s="304"/>
      <c r="Q460" s="304"/>
      <c r="R460" s="304"/>
      <c r="S460" s="304"/>
      <c r="T460" s="304"/>
      <c r="U460" s="304"/>
      <c r="V460" s="304"/>
      <c r="W460" s="304"/>
      <c r="X460" s="304"/>
      <c r="Y460" s="304"/>
      <c r="Z460" s="304"/>
    </row>
    <row r="461" spans="1:26" x14ac:dyDescent="0.2">
      <c r="A461" s="304"/>
      <c r="B461" s="304"/>
      <c r="C461" s="304"/>
      <c r="D461" s="304"/>
      <c r="E461" s="304"/>
      <c r="F461" s="304"/>
      <c r="G461" s="304"/>
      <c r="H461" s="304"/>
      <c r="I461" s="304"/>
      <c r="J461" s="304"/>
      <c r="K461" s="304"/>
      <c r="L461" s="304"/>
      <c r="M461" s="304"/>
      <c r="N461" s="304"/>
      <c r="O461" s="304"/>
      <c r="P461" s="304"/>
      <c r="Q461" s="304"/>
      <c r="R461" s="304"/>
      <c r="S461" s="304"/>
      <c r="T461" s="304"/>
      <c r="U461" s="304"/>
      <c r="V461" s="304"/>
      <c r="W461" s="304"/>
      <c r="X461" s="304"/>
      <c r="Y461" s="304"/>
      <c r="Z461" s="304"/>
    </row>
    <row r="462" spans="1:26" x14ac:dyDescent="0.2">
      <c r="A462" s="304"/>
      <c r="B462" s="304"/>
      <c r="C462" s="304"/>
      <c r="D462" s="304"/>
      <c r="E462" s="304"/>
      <c r="F462" s="304"/>
      <c r="G462" s="304"/>
      <c r="H462" s="304"/>
      <c r="I462" s="304"/>
      <c r="J462" s="304"/>
      <c r="K462" s="304"/>
      <c r="L462" s="304"/>
      <c r="M462" s="304"/>
      <c r="N462" s="304"/>
      <c r="O462" s="304"/>
      <c r="P462" s="304"/>
      <c r="Q462" s="304"/>
      <c r="R462" s="304"/>
      <c r="S462" s="304"/>
      <c r="T462" s="304"/>
      <c r="U462" s="304"/>
      <c r="V462" s="304"/>
      <c r="W462" s="304"/>
      <c r="X462" s="304"/>
      <c r="Y462" s="304"/>
      <c r="Z462" s="304"/>
    </row>
    <row r="463" spans="1:26" x14ac:dyDescent="0.2">
      <c r="A463" s="304"/>
      <c r="B463" s="304"/>
      <c r="C463" s="304"/>
      <c r="D463" s="304"/>
      <c r="E463" s="304"/>
      <c r="F463" s="304"/>
      <c r="G463" s="304"/>
      <c r="H463" s="304"/>
      <c r="I463" s="304"/>
      <c r="J463" s="304"/>
      <c r="K463" s="304"/>
      <c r="L463" s="304"/>
      <c r="M463" s="304"/>
      <c r="N463" s="304"/>
      <c r="O463" s="304"/>
      <c r="P463" s="304"/>
      <c r="Q463" s="304"/>
      <c r="R463" s="304"/>
      <c r="S463" s="304"/>
      <c r="T463" s="304"/>
      <c r="U463" s="304"/>
      <c r="V463" s="304"/>
      <c r="W463" s="304"/>
      <c r="X463" s="304"/>
      <c r="Y463" s="304"/>
      <c r="Z463" s="304"/>
    </row>
    <row r="464" spans="1:26" x14ac:dyDescent="0.2">
      <c r="A464" s="304"/>
      <c r="B464" s="304"/>
      <c r="C464" s="304"/>
      <c r="D464" s="304"/>
      <c r="E464" s="304"/>
      <c r="F464" s="304"/>
      <c r="G464" s="304"/>
      <c r="H464" s="304"/>
      <c r="I464" s="304"/>
      <c r="J464" s="304"/>
      <c r="K464" s="304"/>
      <c r="L464" s="304"/>
      <c r="M464" s="304"/>
      <c r="N464" s="304"/>
      <c r="O464" s="304"/>
      <c r="P464" s="304"/>
      <c r="Q464" s="304"/>
      <c r="R464" s="304"/>
      <c r="S464" s="304"/>
      <c r="T464" s="304"/>
      <c r="U464" s="304"/>
      <c r="V464" s="304"/>
      <c r="W464" s="304"/>
      <c r="X464" s="304"/>
      <c r="Y464" s="304"/>
      <c r="Z464" s="304"/>
    </row>
    <row r="465" spans="1:26" x14ac:dyDescent="0.2">
      <c r="A465" s="304"/>
      <c r="B465" s="304"/>
      <c r="C465" s="304"/>
      <c r="D465" s="304"/>
      <c r="E465" s="304"/>
      <c r="F465" s="304"/>
      <c r="G465" s="304"/>
      <c r="H465" s="304"/>
      <c r="I465" s="304"/>
      <c r="J465" s="304"/>
      <c r="K465" s="304"/>
      <c r="L465" s="304"/>
      <c r="M465" s="304"/>
      <c r="N465" s="304"/>
      <c r="O465" s="304"/>
      <c r="P465" s="304"/>
      <c r="Q465" s="304"/>
      <c r="R465" s="304"/>
      <c r="S465" s="304"/>
      <c r="T465" s="304"/>
      <c r="U465" s="304"/>
      <c r="V465" s="304"/>
      <c r="W465" s="304"/>
      <c r="X465" s="304"/>
      <c r="Y465" s="304"/>
      <c r="Z465" s="304"/>
    </row>
    <row r="466" spans="1:26" x14ac:dyDescent="0.2">
      <c r="A466" s="304"/>
      <c r="B466" s="304"/>
      <c r="C466" s="304"/>
      <c r="D466" s="304"/>
      <c r="E466" s="304"/>
      <c r="F466" s="304"/>
      <c r="G466" s="304"/>
      <c r="H466" s="304"/>
      <c r="I466" s="304"/>
      <c r="J466" s="304"/>
      <c r="K466" s="304"/>
      <c r="L466" s="304"/>
      <c r="M466" s="304"/>
      <c r="N466" s="304"/>
      <c r="O466" s="304"/>
      <c r="P466" s="304"/>
      <c r="Q466" s="304"/>
      <c r="R466" s="304"/>
      <c r="S466" s="304"/>
      <c r="T466" s="304"/>
      <c r="U466" s="304"/>
      <c r="V466" s="304"/>
      <c r="W466" s="304"/>
      <c r="X466" s="304"/>
      <c r="Y466" s="304"/>
      <c r="Z466" s="304"/>
    </row>
    <row r="467" spans="1:26" x14ac:dyDescent="0.2">
      <c r="A467" s="304"/>
      <c r="B467" s="304"/>
      <c r="C467" s="304"/>
      <c r="D467" s="304"/>
      <c r="E467" s="304"/>
      <c r="F467" s="304"/>
      <c r="G467" s="304"/>
      <c r="H467" s="304"/>
      <c r="I467" s="304"/>
      <c r="J467" s="304"/>
      <c r="K467" s="304"/>
      <c r="L467" s="304"/>
      <c r="M467" s="304"/>
      <c r="N467" s="304"/>
      <c r="O467" s="304"/>
      <c r="P467" s="304"/>
      <c r="Q467" s="304"/>
      <c r="R467" s="304"/>
      <c r="S467" s="304"/>
      <c r="T467" s="304"/>
      <c r="U467" s="304"/>
      <c r="V467" s="304"/>
      <c r="W467" s="304"/>
      <c r="X467" s="304"/>
      <c r="Y467" s="304"/>
      <c r="Z467" s="304"/>
    </row>
    <row r="468" spans="1:26" x14ac:dyDescent="0.2">
      <c r="A468" s="304"/>
      <c r="B468" s="304"/>
      <c r="C468" s="304"/>
      <c r="D468" s="304"/>
      <c r="E468" s="304"/>
      <c r="F468" s="304"/>
      <c r="G468" s="304"/>
      <c r="H468" s="304"/>
      <c r="I468" s="304"/>
      <c r="J468" s="304"/>
      <c r="K468" s="304"/>
      <c r="L468" s="304"/>
      <c r="M468" s="304"/>
      <c r="N468" s="304"/>
      <c r="O468" s="304"/>
      <c r="P468" s="304"/>
      <c r="Q468" s="304"/>
      <c r="R468" s="304"/>
      <c r="S468" s="304"/>
      <c r="T468" s="304"/>
      <c r="U468" s="304"/>
      <c r="V468" s="304"/>
      <c r="W468" s="304"/>
      <c r="X468" s="304"/>
      <c r="Y468" s="304"/>
      <c r="Z468" s="304"/>
    </row>
    <row r="469" spans="1:26" x14ac:dyDescent="0.2">
      <c r="A469" s="304"/>
      <c r="B469" s="304"/>
      <c r="C469" s="304"/>
      <c r="D469" s="304"/>
      <c r="E469" s="304"/>
      <c r="F469" s="304"/>
      <c r="G469" s="304"/>
      <c r="H469" s="304"/>
      <c r="I469" s="304"/>
      <c r="J469" s="304"/>
      <c r="K469" s="304"/>
      <c r="L469" s="304"/>
      <c r="M469" s="304"/>
      <c r="N469" s="304"/>
      <c r="O469" s="304"/>
      <c r="P469" s="304"/>
      <c r="Q469" s="304"/>
      <c r="R469" s="304"/>
      <c r="S469" s="304"/>
      <c r="T469" s="304"/>
      <c r="U469" s="304"/>
      <c r="V469" s="304"/>
      <c r="W469" s="304"/>
      <c r="X469" s="304"/>
      <c r="Y469" s="304"/>
      <c r="Z469" s="304"/>
    </row>
    <row r="470" spans="1:26" x14ac:dyDescent="0.2">
      <c r="A470" s="304"/>
      <c r="B470" s="304"/>
      <c r="C470" s="304"/>
      <c r="D470" s="304"/>
      <c r="E470" s="304"/>
      <c r="F470" s="304"/>
      <c r="G470" s="304"/>
      <c r="H470" s="304"/>
      <c r="I470" s="304"/>
      <c r="J470" s="304"/>
      <c r="K470" s="304"/>
      <c r="L470" s="304"/>
      <c r="M470" s="304"/>
      <c r="N470" s="304"/>
      <c r="O470" s="304"/>
      <c r="P470" s="304"/>
      <c r="Q470" s="304"/>
      <c r="R470" s="304"/>
      <c r="S470" s="304"/>
      <c r="T470" s="304"/>
      <c r="U470" s="304"/>
      <c r="V470" s="304"/>
      <c r="W470" s="304"/>
      <c r="X470" s="304"/>
      <c r="Y470" s="304"/>
      <c r="Z470" s="304"/>
    </row>
    <row r="471" spans="1:26" x14ac:dyDescent="0.2">
      <c r="A471" s="304"/>
      <c r="B471" s="304"/>
      <c r="C471" s="304"/>
      <c r="D471" s="304"/>
      <c r="E471" s="304"/>
      <c r="F471" s="304"/>
      <c r="G471" s="304"/>
      <c r="H471" s="304"/>
      <c r="I471" s="304"/>
      <c r="J471" s="304"/>
      <c r="K471" s="304"/>
      <c r="L471" s="304"/>
      <c r="M471" s="304"/>
      <c r="N471" s="304"/>
      <c r="O471" s="304"/>
      <c r="P471" s="304"/>
      <c r="Q471" s="304"/>
      <c r="R471" s="304"/>
      <c r="S471" s="304"/>
      <c r="T471" s="304"/>
      <c r="U471" s="304"/>
      <c r="V471" s="304"/>
      <c r="W471" s="304"/>
      <c r="X471" s="304"/>
      <c r="Y471" s="304"/>
      <c r="Z471" s="304"/>
    </row>
    <row r="472" spans="1:26" x14ac:dyDescent="0.2">
      <c r="A472" s="304"/>
      <c r="B472" s="304"/>
      <c r="C472" s="304"/>
      <c r="D472" s="304"/>
      <c r="E472" s="304"/>
      <c r="F472" s="304"/>
      <c r="G472" s="304"/>
      <c r="H472" s="304"/>
      <c r="I472" s="304"/>
      <c r="J472" s="304"/>
      <c r="K472" s="304"/>
      <c r="L472" s="304"/>
      <c r="M472" s="304"/>
      <c r="N472" s="304"/>
      <c r="O472" s="304"/>
      <c r="P472" s="304"/>
      <c r="Q472" s="304"/>
      <c r="R472" s="304"/>
      <c r="S472" s="304"/>
      <c r="T472" s="304"/>
      <c r="U472" s="304"/>
      <c r="V472" s="304"/>
      <c r="W472" s="304"/>
      <c r="X472" s="304"/>
      <c r="Y472" s="304"/>
      <c r="Z472" s="304"/>
    </row>
    <row r="473" spans="1:26" x14ac:dyDescent="0.2">
      <c r="A473" s="304"/>
      <c r="B473" s="304"/>
      <c r="C473" s="304"/>
      <c r="D473" s="304"/>
      <c r="E473" s="304"/>
      <c r="F473" s="304"/>
      <c r="G473" s="304"/>
      <c r="H473" s="304"/>
      <c r="I473" s="304"/>
      <c r="J473" s="304"/>
      <c r="K473" s="304"/>
      <c r="L473" s="304"/>
      <c r="M473" s="304"/>
      <c r="N473" s="304"/>
      <c r="O473" s="304"/>
      <c r="P473" s="304"/>
      <c r="Q473" s="304"/>
      <c r="R473" s="304"/>
      <c r="S473" s="304"/>
      <c r="T473" s="304"/>
      <c r="U473" s="304"/>
      <c r="V473" s="304"/>
      <c r="W473" s="304"/>
      <c r="X473" s="304"/>
      <c r="Y473" s="304"/>
      <c r="Z473" s="304"/>
    </row>
    <row r="474" spans="1:26" x14ac:dyDescent="0.2">
      <c r="A474" s="304"/>
      <c r="B474" s="304"/>
      <c r="C474" s="304"/>
      <c r="D474" s="304"/>
      <c r="E474" s="304"/>
      <c r="F474" s="304"/>
      <c r="G474" s="304"/>
      <c r="H474" s="304"/>
      <c r="I474" s="304"/>
      <c r="J474" s="304"/>
      <c r="K474" s="304"/>
      <c r="L474" s="304"/>
      <c r="M474" s="304"/>
      <c r="N474" s="304"/>
      <c r="O474" s="304"/>
      <c r="P474" s="304"/>
      <c r="Q474" s="304"/>
      <c r="R474" s="304"/>
      <c r="S474" s="304"/>
      <c r="T474" s="304"/>
      <c r="U474" s="304"/>
      <c r="V474" s="304"/>
      <c r="W474" s="304"/>
      <c r="X474" s="304"/>
      <c r="Y474" s="304"/>
      <c r="Z474" s="304"/>
    </row>
    <row r="475" spans="1:26" x14ac:dyDescent="0.2">
      <c r="A475" s="304"/>
      <c r="B475" s="304"/>
      <c r="C475" s="304"/>
      <c r="D475" s="304"/>
      <c r="E475" s="304"/>
      <c r="F475" s="304"/>
      <c r="G475" s="304"/>
      <c r="H475" s="304"/>
      <c r="I475" s="304"/>
      <c r="J475" s="304"/>
      <c r="K475" s="304"/>
      <c r="L475" s="304"/>
      <c r="M475" s="304"/>
      <c r="N475" s="304"/>
      <c r="O475" s="304"/>
      <c r="P475" s="304"/>
      <c r="Q475" s="304"/>
      <c r="R475" s="304"/>
      <c r="S475" s="304"/>
      <c r="T475" s="304"/>
      <c r="U475" s="304"/>
      <c r="V475" s="304"/>
      <c r="W475" s="304"/>
      <c r="X475" s="304"/>
      <c r="Y475" s="304"/>
      <c r="Z475" s="304"/>
    </row>
    <row r="476" spans="1:26" x14ac:dyDescent="0.2">
      <c r="A476" s="304"/>
      <c r="B476" s="304"/>
      <c r="C476" s="304"/>
      <c r="D476" s="304"/>
      <c r="E476" s="304"/>
      <c r="F476" s="304"/>
      <c r="G476" s="304"/>
      <c r="H476" s="304"/>
      <c r="I476" s="304"/>
      <c r="J476" s="304"/>
      <c r="K476" s="304"/>
      <c r="L476" s="304"/>
      <c r="M476" s="304"/>
      <c r="N476" s="304"/>
      <c r="O476" s="304"/>
      <c r="P476" s="304"/>
      <c r="Q476" s="304"/>
      <c r="R476" s="304"/>
      <c r="S476" s="304"/>
      <c r="T476" s="304"/>
      <c r="U476" s="304"/>
      <c r="V476" s="304"/>
      <c r="W476" s="304"/>
      <c r="X476" s="304"/>
      <c r="Y476" s="304"/>
      <c r="Z476" s="304"/>
    </row>
    <row r="477" spans="1:26" x14ac:dyDescent="0.2">
      <c r="A477" s="304"/>
      <c r="B477" s="304"/>
      <c r="C477" s="304"/>
      <c r="D477" s="304"/>
      <c r="E477" s="304"/>
      <c r="F477" s="304"/>
      <c r="G477" s="304"/>
      <c r="H477" s="304"/>
      <c r="I477" s="304"/>
      <c r="J477" s="304"/>
      <c r="K477" s="304"/>
      <c r="L477" s="304"/>
      <c r="M477" s="304"/>
      <c r="N477" s="304"/>
      <c r="O477" s="304"/>
      <c r="P477" s="304"/>
      <c r="Q477" s="304"/>
      <c r="R477" s="304"/>
      <c r="S477" s="304"/>
      <c r="T477" s="304"/>
      <c r="U477" s="304"/>
      <c r="V477" s="304"/>
      <c r="W477" s="304"/>
      <c r="X477" s="304"/>
      <c r="Y477" s="304"/>
      <c r="Z477" s="304"/>
    </row>
    <row r="478" spans="1:26" x14ac:dyDescent="0.2">
      <c r="A478" s="304"/>
      <c r="B478" s="304"/>
      <c r="C478" s="304"/>
      <c r="D478" s="304"/>
      <c r="E478" s="304"/>
      <c r="F478" s="304"/>
      <c r="G478" s="304"/>
      <c r="H478" s="304"/>
      <c r="I478" s="304"/>
      <c r="J478" s="304"/>
      <c r="K478" s="304"/>
      <c r="L478" s="304"/>
      <c r="M478" s="304"/>
      <c r="N478" s="304"/>
      <c r="O478" s="304"/>
      <c r="P478" s="304"/>
      <c r="Q478" s="304"/>
      <c r="R478" s="304"/>
      <c r="S478" s="304"/>
      <c r="T478" s="304"/>
      <c r="U478" s="304"/>
      <c r="V478" s="304"/>
      <c r="W478" s="304"/>
      <c r="X478" s="304"/>
      <c r="Y478" s="304"/>
      <c r="Z478" s="304"/>
    </row>
    <row r="479" spans="1:26" x14ac:dyDescent="0.2">
      <c r="A479" s="304"/>
      <c r="B479" s="304"/>
      <c r="C479" s="304"/>
      <c r="D479" s="304"/>
      <c r="E479" s="304"/>
      <c r="F479" s="304"/>
      <c r="G479" s="304"/>
      <c r="H479" s="304"/>
      <c r="I479" s="304"/>
      <c r="J479" s="304"/>
      <c r="K479" s="304"/>
      <c r="L479" s="304"/>
      <c r="M479" s="304"/>
      <c r="N479" s="304"/>
      <c r="O479" s="304"/>
      <c r="P479" s="304"/>
      <c r="Q479" s="304"/>
      <c r="R479" s="304"/>
      <c r="S479" s="304"/>
      <c r="T479" s="304"/>
      <c r="U479" s="304"/>
      <c r="V479" s="304"/>
      <c r="W479" s="304"/>
      <c r="X479" s="304"/>
      <c r="Y479" s="304"/>
      <c r="Z479" s="304"/>
    </row>
    <row r="480" spans="1:26" x14ac:dyDescent="0.2">
      <c r="A480" s="304"/>
      <c r="B480" s="304"/>
      <c r="C480" s="304"/>
      <c r="D480" s="304"/>
      <c r="E480" s="304"/>
      <c r="F480" s="304"/>
      <c r="G480" s="304"/>
      <c r="H480" s="304"/>
      <c r="I480" s="304"/>
      <c r="J480" s="304"/>
      <c r="K480" s="304"/>
      <c r="L480" s="304"/>
      <c r="M480" s="304"/>
      <c r="N480" s="304"/>
      <c r="O480" s="304"/>
      <c r="P480" s="304"/>
      <c r="Q480" s="304"/>
      <c r="R480" s="304"/>
      <c r="S480" s="304"/>
      <c r="T480" s="304"/>
      <c r="U480" s="304"/>
      <c r="V480" s="304"/>
      <c r="W480" s="304"/>
      <c r="X480" s="304"/>
      <c r="Y480" s="304"/>
      <c r="Z480" s="304"/>
    </row>
    <row r="481" spans="1:26" x14ac:dyDescent="0.2">
      <c r="A481" s="304"/>
      <c r="B481" s="304"/>
      <c r="C481" s="304"/>
      <c r="D481" s="304"/>
      <c r="E481" s="304"/>
      <c r="F481" s="304"/>
      <c r="G481" s="304"/>
      <c r="H481" s="304"/>
      <c r="I481" s="304"/>
      <c r="J481" s="304"/>
      <c r="K481" s="304"/>
      <c r="L481" s="304"/>
      <c r="M481" s="304"/>
      <c r="N481" s="304"/>
      <c r="O481" s="304"/>
      <c r="P481" s="304"/>
      <c r="Q481" s="304"/>
      <c r="R481" s="304"/>
      <c r="S481" s="304"/>
      <c r="T481" s="304"/>
      <c r="U481" s="304"/>
      <c r="V481" s="304"/>
      <c r="W481" s="304"/>
      <c r="X481" s="304"/>
      <c r="Y481" s="304"/>
      <c r="Z481" s="304"/>
    </row>
    <row r="482" spans="1:26" x14ac:dyDescent="0.2">
      <c r="A482" s="304"/>
      <c r="B482" s="304"/>
      <c r="C482" s="304"/>
      <c r="D482" s="304"/>
      <c r="E482" s="304"/>
      <c r="F482" s="304"/>
      <c r="G482" s="304"/>
      <c r="H482" s="304"/>
      <c r="I482" s="304"/>
      <c r="J482" s="304"/>
      <c r="K482" s="304"/>
      <c r="L482" s="304"/>
      <c r="M482" s="304"/>
      <c r="N482" s="304"/>
      <c r="O482" s="304"/>
      <c r="P482" s="304"/>
      <c r="Q482" s="304"/>
      <c r="R482" s="304"/>
      <c r="S482" s="304"/>
      <c r="T482" s="304"/>
      <c r="U482" s="304"/>
      <c r="V482" s="304"/>
      <c r="W482" s="304"/>
      <c r="X482" s="304"/>
      <c r="Y482" s="304"/>
      <c r="Z482" s="304"/>
    </row>
    <row r="483" spans="1:26" x14ac:dyDescent="0.2">
      <c r="A483" s="304"/>
      <c r="B483" s="304"/>
      <c r="C483" s="304"/>
      <c r="D483" s="304"/>
      <c r="E483" s="304"/>
      <c r="F483" s="304"/>
      <c r="G483" s="304"/>
      <c r="H483" s="304"/>
      <c r="I483" s="304"/>
      <c r="J483" s="304"/>
      <c r="K483" s="304"/>
      <c r="L483" s="304"/>
      <c r="M483" s="304"/>
      <c r="N483" s="304"/>
      <c r="O483" s="304"/>
      <c r="P483" s="304"/>
      <c r="Q483" s="304"/>
      <c r="R483" s="304"/>
      <c r="S483" s="304"/>
      <c r="T483" s="304"/>
      <c r="U483" s="304"/>
      <c r="V483" s="304"/>
      <c r="W483" s="304"/>
      <c r="X483" s="304"/>
      <c r="Y483" s="304"/>
      <c r="Z483" s="304"/>
    </row>
    <row r="484" spans="1:26" x14ac:dyDescent="0.2">
      <c r="A484" s="304"/>
      <c r="B484" s="304"/>
      <c r="C484" s="304"/>
      <c r="D484" s="304"/>
      <c r="E484" s="304"/>
      <c r="F484" s="304"/>
      <c r="G484" s="304"/>
      <c r="H484" s="304"/>
      <c r="I484" s="304"/>
      <c r="J484" s="304"/>
      <c r="K484" s="304"/>
      <c r="L484" s="304"/>
      <c r="M484" s="304"/>
      <c r="N484" s="304"/>
      <c r="O484" s="304"/>
      <c r="P484" s="304"/>
      <c r="Q484" s="304"/>
      <c r="R484" s="304"/>
      <c r="S484" s="304"/>
      <c r="T484" s="304"/>
      <c r="U484" s="304"/>
      <c r="V484" s="304"/>
      <c r="W484" s="304"/>
      <c r="X484" s="304"/>
      <c r="Y484" s="304"/>
      <c r="Z484" s="304"/>
    </row>
    <row r="485" spans="1:26" x14ac:dyDescent="0.2">
      <c r="A485" s="304"/>
      <c r="B485" s="304"/>
      <c r="C485" s="304"/>
      <c r="D485" s="304"/>
      <c r="E485" s="304"/>
      <c r="F485" s="304"/>
      <c r="G485" s="304"/>
      <c r="H485" s="304"/>
      <c r="I485" s="304"/>
      <c r="J485" s="304"/>
      <c r="K485" s="304"/>
      <c r="L485" s="304"/>
      <c r="M485" s="304"/>
      <c r="N485" s="304"/>
      <c r="O485" s="304"/>
      <c r="P485" s="304"/>
      <c r="Q485" s="304"/>
      <c r="R485" s="304"/>
      <c r="S485" s="304"/>
      <c r="T485" s="304"/>
      <c r="U485" s="304"/>
      <c r="V485" s="304"/>
      <c r="W485" s="304"/>
      <c r="X485" s="304"/>
      <c r="Y485" s="304"/>
      <c r="Z485" s="304"/>
    </row>
    <row r="486" spans="1:26" x14ac:dyDescent="0.2">
      <c r="A486" s="304"/>
      <c r="B486" s="304"/>
      <c r="C486" s="304"/>
      <c r="D486" s="304"/>
      <c r="E486" s="304"/>
      <c r="F486" s="304"/>
      <c r="G486" s="304"/>
      <c r="H486" s="304"/>
      <c r="I486" s="304"/>
      <c r="J486" s="304"/>
      <c r="K486" s="304"/>
      <c r="L486" s="304"/>
      <c r="M486" s="304"/>
      <c r="N486" s="304"/>
      <c r="O486" s="304"/>
      <c r="P486" s="304"/>
      <c r="Q486" s="304"/>
      <c r="R486" s="304"/>
      <c r="S486" s="304"/>
      <c r="T486" s="304"/>
      <c r="U486" s="304"/>
      <c r="V486" s="304"/>
      <c r="W486" s="304"/>
      <c r="X486" s="304"/>
      <c r="Y486" s="304"/>
      <c r="Z486" s="304"/>
    </row>
    <row r="487" spans="1:26" x14ac:dyDescent="0.2">
      <c r="A487" s="304"/>
      <c r="B487" s="304"/>
      <c r="C487" s="304"/>
      <c r="D487" s="304"/>
      <c r="E487" s="304"/>
      <c r="F487" s="304"/>
      <c r="G487" s="304"/>
      <c r="H487" s="304"/>
      <c r="I487" s="304"/>
      <c r="J487" s="304"/>
      <c r="K487" s="304"/>
      <c r="L487" s="304"/>
      <c r="M487" s="304"/>
      <c r="N487" s="304"/>
      <c r="O487" s="304"/>
      <c r="P487" s="304"/>
      <c r="Q487" s="304"/>
      <c r="R487" s="304"/>
      <c r="S487" s="304"/>
      <c r="T487" s="304"/>
      <c r="U487" s="304"/>
      <c r="V487" s="304"/>
      <c r="W487" s="304"/>
      <c r="X487" s="304"/>
      <c r="Y487" s="304"/>
      <c r="Z487" s="304"/>
    </row>
    <row r="488" spans="1:26" x14ac:dyDescent="0.2">
      <c r="A488" s="304"/>
      <c r="B488" s="304"/>
      <c r="C488" s="304"/>
      <c r="D488" s="304"/>
      <c r="E488" s="304"/>
      <c r="F488" s="304"/>
      <c r="G488" s="304"/>
      <c r="H488" s="304"/>
      <c r="I488" s="304"/>
      <c r="J488" s="304"/>
      <c r="K488" s="304"/>
      <c r="L488" s="304"/>
      <c r="M488" s="304"/>
      <c r="N488" s="304"/>
      <c r="O488" s="304"/>
      <c r="P488" s="304"/>
      <c r="Q488" s="304"/>
      <c r="R488" s="304"/>
      <c r="S488" s="304"/>
      <c r="T488" s="304"/>
      <c r="U488" s="304"/>
      <c r="V488" s="304"/>
      <c r="W488" s="304"/>
      <c r="X488" s="304"/>
      <c r="Y488" s="304"/>
      <c r="Z488" s="304"/>
    </row>
    <row r="489" spans="1:26" x14ac:dyDescent="0.2">
      <c r="A489" s="304"/>
      <c r="B489" s="304"/>
      <c r="C489" s="304"/>
      <c r="D489" s="304"/>
      <c r="E489" s="304"/>
      <c r="F489" s="304"/>
      <c r="G489" s="304"/>
      <c r="H489" s="304"/>
      <c r="I489" s="304"/>
      <c r="J489" s="304"/>
      <c r="K489" s="304"/>
      <c r="L489" s="304"/>
      <c r="M489" s="304"/>
      <c r="N489" s="304"/>
      <c r="O489" s="304"/>
      <c r="P489" s="304"/>
      <c r="Q489" s="304"/>
      <c r="R489" s="304"/>
      <c r="S489" s="304"/>
      <c r="T489" s="304"/>
      <c r="U489" s="304"/>
      <c r="V489" s="304"/>
      <c r="W489" s="304"/>
      <c r="X489" s="304"/>
      <c r="Y489" s="304"/>
      <c r="Z489" s="304"/>
    </row>
    <row r="490" spans="1:26" x14ac:dyDescent="0.2">
      <c r="A490" s="304"/>
      <c r="B490" s="304"/>
      <c r="C490" s="304"/>
      <c r="D490" s="304"/>
      <c r="E490" s="304"/>
      <c r="F490" s="304"/>
      <c r="G490" s="304"/>
      <c r="H490" s="304"/>
      <c r="I490" s="304"/>
      <c r="J490" s="304"/>
      <c r="K490" s="304"/>
      <c r="L490" s="304"/>
      <c r="M490" s="304"/>
      <c r="N490" s="304"/>
      <c r="O490" s="304"/>
      <c r="P490" s="304"/>
      <c r="Q490" s="304"/>
      <c r="R490" s="304"/>
      <c r="S490" s="304"/>
      <c r="T490" s="304"/>
      <c r="U490" s="304"/>
      <c r="V490" s="304"/>
      <c r="W490" s="304"/>
      <c r="X490" s="304"/>
      <c r="Y490" s="304"/>
      <c r="Z490" s="304"/>
    </row>
    <row r="491" spans="1:26" x14ac:dyDescent="0.2">
      <c r="A491" s="304"/>
      <c r="B491" s="304"/>
      <c r="C491" s="304"/>
      <c r="D491" s="304"/>
      <c r="E491" s="304"/>
      <c r="F491" s="304"/>
      <c r="G491" s="304"/>
      <c r="H491" s="304"/>
      <c r="I491" s="304"/>
      <c r="J491" s="304"/>
      <c r="K491" s="304"/>
      <c r="L491" s="304"/>
      <c r="M491" s="304"/>
      <c r="N491" s="304"/>
      <c r="O491" s="304"/>
      <c r="P491" s="304"/>
      <c r="Q491" s="304"/>
      <c r="R491" s="304"/>
      <c r="S491" s="304"/>
      <c r="T491" s="304"/>
      <c r="U491" s="304"/>
      <c r="V491" s="304"/>
      <c r="W491" s="304"/>
      <c r="X491" s="304"/>
      <c r="Y491" s="304"/>
      <c r="Z491" s="304"/>
    </row>
    <row r="492" spans="1:26" x14ac:dyDescent="0.2">
      <c r="A492" s="304"/>
      <c r="B492" s="304"/>
      <c r="C492" s="304"/>
      <c r="D492" s="304"/>
      <c r="E492" s="304"/>
      <c r="F492" s="304"/>
      <c r="G492" s="304"/>
      <c r="H492" s="304"/>
      <c r="I492" s="304"/>
      <c r="J492" s="304"/>
      <c r="K492" s="304"/>
      <c r="L492" s="304"/>
      <c r="M492" s="304"/>
      <c r="N492" s="304"/>
      <c r="O492" s="304"/>
      <c r="P492" s="304"/>
      <c r="Q492" s="304"/>
      <c r="R492" s="304"/>
      <c r="S492" s="304"/>
      <c r="T492" s="304"/>
      <c r="U492" s="304"/>
      <c r="V492" s="304"/>
      <c r="W492" s="304"/>
      <c r="X492" s="304"/>
      <c r="Y492" s="304"/>
      <c r="Z492" s="304"/>
    </row>
    <row r="493" spans="1:26" x14ac:dyDescent="0.2">
      <c r="A493" s="304"/>
      <c r="B493" s="304"/>
      <c r="C493" s="304"/>
      <c r="D493" s="304"/>
      <c r="E493" s="304"/>
      <c r="F493" s="304"/>
      <c r="G493" s="304"/>
      <c r="H493" s="304"/>
      <c r="I493" s="304"/>
      <c r="J493" s="304"/>
      <c r="K493" s="304"/>
      <c r="L493" s="304"/>
      <c r="M493" s="304"/>
      <c r="N493" s="304"/>
      <c r="O493" s="304"/>
      <c r="P493" s="304"/>
      <c r="Q493" s="304"/>
      <c r="R493" s="304"/>
      <c r="S493" s="304"/>
      <c r="T493" s="304"/>
      <c r="U493" s="304"/>
      <c r="V493" s="304"/>
      <c r="W493" s="304"/>
      <c r="X493" s="304"/>
      <c r="Y493" s="304"/>
      <c r="Z493" s="304"/>
    </row>
    <row r="494" spans="1:26" x14ac:dyDescent="0.2">
      <c r="A494" s="304"/>
      <c r="B494" s="304"/>
      <c r="C494" s="304"/>
      <c r="D494" s="304"/>
      <c r="E494" s="304"/>
      <c r="F494" s="304"/>
      <c r="G494" s="304"/>
      <c r="H494" s="304"/>
      <c r="I494" s="304"/>
      <c r="J494" s="304"/>
      <c r="K494" s="304"/>
      <c r="L494" s="304"/>
      <c r="M494" s="304"/>
      <c r="N494" s="304"/>
      <c r="O494" s="304"/>
      <c r="P494" s="304"/>
      <c r="Q494" s="304"/>
      <c r="R494" s="304"/>
      <c r="S494" s="304"/>
      <c r="T494" s="304"/>
      <c r="U494" s="304"/>
      <c r="V494" s="304"/>
      <c r="W494" s="304"/>
      <c r="X494" s="304"/>
      <c r="Y494" s="304"/>
      <c r="Z494" s="304"/>
    </row>
    <row r="495" spans="1:26" x14ac:dyDescent="0.2">
      <c r="A495" s="304"/>
      <c r="B495" s="304"/>
      <c r="C495" s="304"/>
      <c r="D495" s="304"/>
      <c r="E495" s="304"/>
      <c r="F495" s="304"/>
      <c r="G495" s="304"/>
      <c r="H495" s="304"/>
      <c r="I495" s="304"/>
      <c r="J495" s="304"/>
      <c r="K495" s="304"/>
      <c r="L495" s="304"/>
      <c r="M495" s="304"/>
      <c r="N495" s="304"/>
      <c r="O495" s="304"/>
      <c r="P495" s="304"/>
      <c r="Q495" s="304"/>
      <c r="R495" s="304"/>
      <c r="S495" s="304"/>
      <c r="T495" s="304"/>
      <c r="U495" s="304"/>
      <c r="V495" s="304"/>
      <c r="W495" s="304"/>
      <c r="X495" s="304"/>
      <c r="Y495" s="304"/>
      <c r="Z495" s="304"/>
    </row>
    <row r="496" spans="1:26" x14ac:dyDescent="0.2">
      <c r="A496" s="304"/>
      <c r="B496" s="304"/>
      <c r="C496" s="304"/>
      <c r="D496" s="304"/>
      <c r="E496" s="304"/>
      <c r="F496" s="304"/>
      <c r="G496" s="304"/>
      <c r="H496" s="304"/>
      <c r="I496" s="304"/>
      <c r="J496" s="304"/>
      <c r="K496" s="304"/>
      <c r="L496" s="304"/>
      <c r="M496" s="304"/>
      <c r="N496" s="304"/>
      <c r="O496" s="304"/>
      <c r="P496" s="304"/>
      <c r="Q496" s="304"/>
      <c r="R496" s="304"/>
      <c r="S496" s="304"/>
      <c r="T496" s="304"/>
      <c r="U496" s="304"/>
      <c r="V496" s="304"/>
      <c r="W496" s="304"/>
      <c r="X496" s="304"/>
      <c r="Y496" s="304"/>
      <c r="Z496" s="304"/>
    </row>
    <row r="497" spans="1:26" x14ac:dyDescent="0.2">
      <c r="A497" s="304"/>
      <c r="B497" s="304"/>
      <c r="C497" s="304"/>
      <c r="D497" s="304"/>
      <c r="E497" s="304"/>
      <c r="F497" s="304"/>
      <c r="G497" s="304"/>
      <c r="H497" s="304"/>
      <c r="I497" s="304"/>
      <c r="J497" s="304"/>
      <c r="K497" s="304"/>
      <c r="L497" s="304"/>
      <c r="M497" s="304"/>
      <c r="N497" s="304"/>
      <c r="O497" s="304"/>
      <c r="P497" s="304"/>
      <c r="Q497" s="304"/>
      <c r="R497" s="304"/>
      <c r="S497" s="304"/>
      <c r="T497" s="304"/>
      <c r="U497" s="304"/>
      <c r="V497" s="304"/>
      <c r="W497" s="304"/>
      <c r="X497" s="304"/>
      <c r="Y497" s="304"/>
      <c r="Z497" s="304"/>
    </row>
    <row r="498" spans="1:26" x14ac:dyDescent="0.2">
      <c r="A498" s="304"/>
      <c r="B498" s="304"/>
      <c r="C498" s="304"/>
      <c r="D498" s="304"/>
      <c r="E498" s="304"/>
      <c r="F498" s="304"/>
      <c r="G498" s="304"/>
      <c r="H498" s="304"/>
      <c r="I498" s="304"/>
      <c r="J498" s="304"/>
      <c r="K498" s="304"/>
      <c r="L498" s="304"/>
      <c r="M498" s="304"/>
      <c r="N498" s="304"/>
      <c r="O498" s="304"/>
      <c r="P498" s="304"/>
      <c r="Q498" s="304"/>
      <c r="R498" s="304"/>
      <c r="S498" s="304"/>
      <c r="T498" s="304"/>
      <c r="U498" s="304"/>
      <c r="V498" s="304"/>
      <c r="W498" s="304"/>
      <c r="X498" s="304"/>
      <c r="Y498" s="304"/>
      <c r="Z498" s="304"/>
    </row>
    <row r="499" spans="1:26" x14ac:dyDescent="0.2">
      <c r="A499" s="304"/>
      <c r="B499" s="304"/>
      <c r="C499" s="304"/>
      <c r="D499" s="304"/>
      <c r="E499" s="304"/>
      <c r="F499" s="304"/>
      <c r="G499" s="304"/>
      <c r="H499" s="304"/>
      <c r="I499" s="304"/>
      <c r="J499" s="304"/>
      <c r="K499" s="304"/>
      <c r="L499" s="304"/>
      <c r="M499" s="304"/>
      <c r="N499" s="304"/>
      <c r="O499" s="304"/>
      <c r="P499" s="304"/>
      <c r="Q499" s="304"/>
      <c r="R499" s="304"/>
      <c r="S499" s="304"/>
      <c r="T499" s="304"/>
      <c r="U499" s="304"/>
      <c r="V499" s="304"/>
      <c r="W499" s="304"/>
      <c r="X499" s="304"/>
      <c r="Y499" s="304"/>
      <c r="Z499" s="304"/>
    </row>
    <row r="500" spans="1:26" x14ac:dyDescent="0.2">
      <c r="A500" s="304"/>
      <c r="B500" s="304"/>
      <c r="C500" s="304"/>
      <c r="D500" s="304"/>
      <c r="E500" s="304"/>
      <c r="F500" s="304"/>
      <c r="G500" s="304"/>
      <c r="H500" s="304"/>
      <c r="I500" s="304"/>
      <c r="J500" s="304"/>
      <c r="K500" s="304"/>
      <c r="L500" s="304"/>
      <c r="M500" s="304"/>
      <c r="N500" s="304"/>
      <c r="O500" s="304"/>
      <c r="P500" s="304"/>
      <c r="Q500" s="304"/>
      <c r="R500" s="304"/>
      <c r="S500" s="304"/>
      <c r="T500" s="304"/>
      <c r="U500" s="304"/>
      <c r="V500" s="304"/>
      <c r="W500" s="304"/>
      <c r="X500" s="304"/>
      <c r="Y500" s="304"/>
      <c r="Z500" s="304"/>
    </row>
    <row r="501" spans="1:26" x14ac:dyDescent="0.2">
      <c r="A501" s="304"/>
      <c r="B501" s="304"/>
      <c r="C501" s="304"/>
      <c r="D501" s="304"/>
      <c r="E501" s="304"/>
      <c r="F501" s="304"/>
      <c r="G501" s="304"/>
      <c r="H501" s="304"/>
      <c r="I501" s="304"/>
      <c r="J501" s="304"/>
      <c r="K501" s="304"/>
      <c r="L501" s="304"/>
      <c r="M501" s="304"/>
      <c r="N501" s="304"/>
      <c r="O501" s="304"/>
      <c r="P501" s="304"/>
      <c r="Q501" s="304"/>
      <c r="R501" s="304"/>
      <c r="S501" s="304"/>
      <c r="T501" s="304"/>
      <c r="U501" s="304"/>
      <c r="V501" s="304"/>
      <c r="W501" s="304"/>
      <c r="X501" s="304"/>
      <c r="Y501" s="304"/>
      <c r="Z501" s="304"/>
    </row>
    <row r="502" spans="1:26" x14ac:dyDescent="0.2">
      <c r="A502" s="304"/>
      <c r="B502" s="304"/>
      <c r="C502" s="304"/>
      <c r="D502" s="304"/>
      <c r="E502" s="304"/>
      <c r="F502" s="304"/>
      <c r="G502" s="304"/>
      <c r="H502" s="304"/>
      <c r="I502" s="304"/>
      <c r="J502" s="304"/>
      <c r="K502" s="304"/>
      <c r="L502" s="304"/>
      <c r="M502" s="304"/>
      <c r="N502" s="304"/>
      <c r="O502" s="304"/>
      <c r="P502" s="304"/>
      <c r="Q502" s="304"/>
      <c r="R502" s="304"/>
      <c r="S502" s="304"/>
      <c r="T502" s="304"/>
      <c r="U502" s="304"/>
      <c r="V502" s="304"/>
      <c r="W502" s="304"/>
      <c r="X502" s="304"/>
      <c r="Y502" s="304"/>
      <c r="Z502" s="304"/>
    </row>
    <row r="503" spans="1:26" x14ac:dyDescent="0.2">
      <c r="A503" s="304"/>
      <c r="B503" s="304"/>
      <c r="C503" s="304"/>
      <c r="D503" s="304"/>
      <c r="E503" s="304"/>
      <c r="F503" s="304"/>
      <c r="G503" s="304"/>
      <c r="H503" s="304"/>
      <c r="I503" s="304"/>
      <c r="J503" s="304"/>
      <c r="K503" s="304"/>
      <c r="L503" s="304"/>
      <c r="M503" s="304"/>
      <c r="N503" s="304"/>
      <c r="O503" s="304"/>
      <c r="P503" s="304"/>
      <c r="Q503" s="304"/>
      <c r="R503" s="304"/>
      <c r="S503" s="304"/>
      <c r="T503" s="304"/>
      <c r="U503" s="304"/>
      <c r="V503" s="304"/>
      <c r="W503" s="304"/>
      <c r="X503" s="304"/>
      <c r="Y503" s="304"/>
      <c r="Z503" s="304"/>
    </row>
    <row r="504" spans="1:26" x14ac:dyDescent="0.2">
      <c r="A504" s="304"/>
      <c r="B504" s="304"/>
      <c r="C504" s="304"/>
      <c r="D504" s="304"/>
      <c r="E504" s="304"/>
      <c r="F504" s="304"/>
      <c r="G504" s="304"/>
      <c r="H504" s="304"/>
      <c r="I504" s="304"/>
      <c r="J504" s="304"/>
      <c r="K504" s="304"/>
      <c r="L504" s="304"/>
      <c r="M504" s="304"/>
      <c r="N504" s="304"/>
      <c r="O504" s="304"/>
      <c r="P504" s="304"/>
      <c r="Q504" s="304"/>
      <c r="R504" s="304"/>
      <c r="S504" s="304"/>
      <c r="T504" s="304"/>
      <c r="U504" s="304"/>
      <c r="V504" s="304"/>
      <c r="W504" s="304"/>
      <c r="X504" s="304"/>
      <c r="Y504" s="304"/>
      <c r="Z504" s="304"/>
    </row>
    <row r="505" spans="1:26" x14ac:dyDescent="0.2">
      <c r="A505" s="304"/>
      <c r="B505" s="304"/>
      <c r="C505" s="304"/>
      <c r="D505" s="304"/>
      <c r="E505" s="304"/>
      <c r="F505" s="304"/>
      <c r="G505" s="304"/>
      <c r="H505" s="304"/>
      <c r="I505" s="304"/>
      <c r="J505" s="304"/>
      <c r="K505" s="304"/>
      <c r="L505" s="304"/>
      <c r="M505" s="304"/>
      <c r="N505" s="304"/>
      <c r="O505" s="304"/>
      <c r="P505" s="304"/>
      <c r="Q505" s="304"/>
      <c r="R505" s="304"/>
      <c r="S505" s="304"/>
      <c r="T505" s="304"/>
      <c r="U505" s="304"/>
      <c r="V505" s="304"/>
      <c r="W505" s="304"/>
      <c r="X505" s="304"/>
      <c r="Y505" s="304"/>
      <c r="Z505" s="304"/>
    </row>
    <row r="506" spans="1:26" x14ac:dyDescent="0.2">
      <c r="A506" s="304"/>
      <c r="B506" s="304"/>
      <c r="C506" s="304"/>
      <c r="D506" s="304"/>
      <c r="E506" s="304"/>
      <c r="F506" s="304"/>
      <c r="G506" s="304"/>
      <c r="H506" s="304"/>
      <c r="I506" s="304"/>
      <c r="J506" s="304"/>
      <c r="K506" s="304"/>
      <c r="L506" s="304"/>
      <c r="M506" s="304"/>
      <c r="N506" s="304"/>
      <c r="O506" s="304"/>
      <c r="P506" s="304"/>
      <c r="Q506" s="304"/>
      <c r="R506" s="304"/>
      <c r="S506" s="304"/>
      <c r="T506" s="304"/>
      <c r="U506" s="304"/>
      <c r="V506" s="304"/>
      <c r="W506" s="304"/>
      <c r="X506" s="304"/>
      <c r="Y506" s="304"/>
      <c r="Z506" s="304"/>
    </row>
    <row r="507" spans="1:26" x14ac:dyDescent="0.2">
      <c r="A507" s="304"/>
      <c r="B507" s="304"/>
      <c r="C507" s="304"/>
      <c r="D507" s="304"/>
      <c r="E507" s="304"/>
      <c r="F507" s="304"/>
      <c r="G507" s="304"/>
      <c r="H507" s="304"/>
      <c r="I507" s="304"/>
      <c r="J507" s="304"/>
      <c r="K507" s="304"/>
      <c r="L507" s="304"/>
      <c r="M507" s="304"/>
      <c r="N507" s="304"/>
      <c r="O507" s="304"/>
      <c r="P507" s="304"/>
      <c r="Q507" s="304"/>
      <c r="R507" s="304"/>
      <c r="S507" s="304"/>
      <c r="T507" s="304"/>
      <c r="U507" s="304"/>
      <c r="V507" s="304"/>
      <c r="W507" s="304"/>
      <c r="X507" s="304"/>
      <c r="Y507" s="304"/>
      <c r="Z507" s="304"/>
    </row>
    <row r="508" spans="1:26" x14ac:dyDescent="0.2">
      <c r="A508" s="304"/>
      <c r="B508" s="304"/>
      <c r="C508" s="304"/>
      <c r="D508" s="304"/>
      <c r="E508" s="304"/>
      <c r="F508" s="304"/>
      <c r="G508" s="304"/>
      <c r="H508" s="304"/>
      <c r="I508" s="304"/>
      <c r="J508" s="304"/>
      <c r="K508" s="304"/>
      <c r="L508" s="304"/>
      <c r="M508" s="304"/>
      <c r="N508" s="304"/>
      <c r="O508" s="304"/>
      <c r="P508" s="304"/>
      <c r="Q508" s="304"/>
      <c r="R508" s="304"/>
      <c r="S508" s="304"/>
      <c r="T508" s="304"/>
      <c r="U508" s="304"/>
      <c r="V508" s="304"/>
      <c r="W508" s="304"/>
      <c r="X508" s="304"/>
      <c r="Y508" s="304"/>
      <c r="Z508" s="304"/>
    </row>
    <row r="509" spans="1:26" x14ac:dyDescent="0.2">
      <c r="A509" s="304"/>
      <c r="B509" s="304"/>
      <c r="C509" s="304"/>
      <c r="D509" s="304"/>
      <c r="E509" s="304"/>
      <c r="F509" s="304"/>
      <c r="G509" s="304"/>
      <c r="H509" s="304"/>
      <c r="I509" s="304"/>
      <c r="J509" s="304"/>
      <c r="K509" s="304"/>
      <c r="L509" s="304"/>
      <c r="M509" s="304"/>
      <c r="N509" s="304"/>
      <c r="O509" s="304"/>
      <c r="P509" s="304"/>
      <c r="Q509" s="304"/>
      <c r="R509" s="304"/>
      <c r="S509" s="304"/>
      <c r="T509" s="304"/>
      <c r="U509" s="304"/>
      <c r="V509" s="304"/>
      <c r="W509" s="304"/>
      <c r="X509" s="304"/>
      <c r="Y509" s="304"/>
      <c r="Z509" s="304"/>
    </row>
    <row r="510" spans="1:26" x14ac:dyDescent="0.2">
      <c r="A510" s="304"/>
      <c r="B510" s="304"/>
      <c r="C510" s="304"/>
      <c r="D510" s="304"/>
      <c r="E510" s="304"/>
      <c r="F510" s="304"/>
      <c r="G510" s="304"/>
      <c r="H510" s="304"/>
      <c r="I510" s="304"/>
      <c r="J510" s="304"/>
      <c r="K510" s="304"/>
      <c r="L510" s="304"/>
      <c r="M510" s="304"/>
      <c r="N510" s="304"/>
      <c r="O510" s="304"/>
      <c r="P510" s="304"/>
      <c r="Q510" s="304"/>
      <c r="R510" s="304"/>
      <c r="S510" s="304"/>
      <c r="T510" s="304"/>
      <c r="U510" s="304"/>
      <c r="V510" s="304"/>
      <c r="W510" s="304"/>
      <c r="X510" s="304"/>
      <c r="Y510" s="304"/>
      <c r="Z510" s="304"/>
    </row>
    <row r="511" spans="1:26" x14ac:dyDescent="0.2">
      <c r="A511" s="304"/>
      <c r="B511" s="304"/>
      <c r="C511" s="304"/>
      <c r="D511" s="304"/>
      <c r="E511" s="304"/>
      <c r="F511" s="304"/>
      <c r="G511" s="304"/>
      <c r="H511" s="304"/>
      <c r="I511" s="304"/>
      <c r="J511" s="304"/>
      <c r="K511" s="304"/>
      <c r="L511" s="304"/>
      <c r="M511" s="304"/>
      <c r="N511" s="304"/>
      <c r="O511" s="304"/>
      <c r="P511" s="304"/>
      <c r="Q511" s="304"/>
      <c r="R511" s="304"/>
      <c r="S511" s="304"/>
      <c r="T511" s="304"/>
      <c r="U511" s="304"/>
      <c r="V511" s="304"/>
      <c r="W511" s="304"/>
      <c r="X511" s="304"/>
      <c r="Y511" s="304"/>
      <c r="Z511" s="304"/>
    </row>
    <row r="512" spans="1:26" x14ac:dyDescent="0.2">
      <c r="A512" s="304"/>
      <c r="B512" s="304"/>
      <c r="C512" s="304"/>
      <c r="D512" s="304"/>
      <c r="E512" s="304"/>
      <c r="F512" s="304"/>
      <c r="G512" s="304"/>
      <c r="H512" s="304"/>
      <c r="I512" s="304"/>
      <c r="J512" s="304"/>
      <c r="K512" s="304"/>
      <c r="L512" s="304"/>
      <c r="M512" s="304"/>
      <c r="N512" s="304"/>
      <c r="O512" s="304"/>
      <c r="P512" s="304"/>
      <c r="Q512" s="304"/>
      <c r="R512" s="304"/>
      <c r="S512" s="304"/>
      <c r="T512" s="304"/>
      <c r="U512" s="304"/>
      <c r="V512" s="304"/>
      <c r="W512" s="304"/>
      <c r="X512" s="304"/>
      <c r="Y512" s="304"/>
      <c r="Z512" s="304"/>
    </row>
    <row r="513" spans="1:26" x14ac:dyDescent="0.2">
      <c r="A513" s="304"/>
      <c r="B513" s="304"/>
      <c r="C513" s="304"/>
      <c r="D513" s="304"/>
      <c r="E513" s="304"/>
      <c r="F513" s="304"/>
      <c r="G513" s="304"/>
      <c r="H513" s="304"/>
      <c r="I513" s="304"/>
      <c r="J513" s="304"/>
      <c r="K513" s="304"/>
      <c r="L513" s="304"/>
      <c r="M513" s="304"/>
      <c r="N513" s="304"/>
      <c r="O513" s="304"/>
      <c r="P513" s="304"/>
      <c r="Q513" s="304"/>
      <c r="R513" s="304"/>
      <c r="S513" s="304"/>
      <c r="T513" s="304"/>
      <c r="U513" s="304"/>
      <c r="V513" s="304"/>
      <c r="W513" s="304"/>
      <c r="X513" s="304"/>
      <c r="Y513" s="304"/>
      <c r="Z513" s="304"/>
    </row>
    <row r="514" spans="1:26" x14ac:dyDescent="0.2">
      <c r="A514" s="304"/>
      <c r="B514" s="304"/>
      <c r="C514" s="304"/>
      <c r="D514" s="304"/>
      <c r="E514" s="304"/>
      <c r="F514" s="304"/>
      <c r="G514" s="304"/>
      <c r="H514" s="304"/>
      <c r="I514" s="304"/>
      <c r="J514" s="304"/>
      <c r="K514" s="304"/>
      <c r="L514" s="304"/>
      <c r="M514" s="304"/>
      <c r="N514" s="304"/>
      <c r="O514" s="304"/>
      <c r="P514" s="304"/>
      <c r="Q514" s="304"/>
      <c r="R514" s="304"/>
      <c r="S514" s="304"/>
      <c r="T514" s="304"/>
      <c r="U514" s="304"/>
      <c r="V514" s="304"/>
      <c r="W514" s="304"/>
      <c r="X514" s="304"/>
      <c r="Y514" s="304"/>
      <c r="Z514" s="304"/>
    </row>
    <row r="515" spans="1:26" x14ac:dyDescent="0.2">
      <c r="A515" s="304"/>
      <c r="B515" s="304"/>
      <c r="C515" s="304"/>
      <c r="D515" s="304"/>
      <c r="E515" s="304"/>
      <c r="F515" s="304"/>
      <c r="G515" s="304"/>
      <c r="H515" s="304"/>
      <c r="I515" s="304"/>
      <c r="J515" s="304"/>
      <c r="K515" s="304"/>
      <c r="L515" s="304"/>
      <c r="M515" s="304"/>
      <c r="N515" s="304"/>
      <c r="O515" s="304"/>
      <c r="P515" s="304"/>
      <c r="Q515" s="304"/>
      <c r="R515" s="304"/>
      <c r="S515" s="304"/>
      <c r="T515" s="304"/>
      <c r="U515" s="304"/>
      <c r="V515" s="304"/>
      <c r="W515" s="304"/>
      <c r="X515" s="304"/>
      <c r="Y515" s="304"/>
      <c r="Z515" s="304"/>
    </row>
    <row r="516" spans="1:26" x14ac:dyDescent="0.2">
      <c r="A516" s="304"/>
      <c r="B516" s="304"/>
      <c r="C516" s="304"/>
      <c r="D516" s="304"/>
      <c r="E516" s="304"/>
      <c r="F516" s="304"/>
      <c r="G516" s="304"/>
      <c r="H516" s="304"/>
      <c r="I516" s="304"/>
      <c r="J516" s="304"/>
      <c r="K516" s="304"/>
      <c r="L516" s="304"/>
      <c r="M516" s="304"/>
      <c r="N516" s="304"/>
      <c r="O516" s="304"/>
      <c r="P516" s="304"/>
      <c r="Q516" s="304"/>
      <c r="R516" s="304"/>
      <c r="S516" s="304"/>
      <c r="T516" s="304"/>
      <c r="U516" s="304"/>
      <c r="V516" s="304"/>
      <c r="W516" s="304"/>
      <c r="X516" s="304"/>
      <c r="Y516" s="304"/>
      <c r="Z516" s="304"/>
    </row>
    <row r="517" spans="1:26" x14ac:dyDescent="0.2">
      <c r="A517" s="304"/>
      <c r="B517" s="304"/>
      <c r="C517" s="304"/>
      <c r="D517" s="304"/>
      <c r="E517" s="304"/>
      <c r="F517" s="304"/>
      <c r="G517" s="304"/>
      <c r="H517" s="304"/>
      <c r="I517" s="304"/>
      <c r="J517" s="304"/>
      <c r="K517" s="304"/>
      <c r="L517" s="304"/>
      <c r="M517" s="304"/>
      <c r="N517" s="304"/>
      <c r="O517" s="304"/>
      <c r="P517" s="304"/>
      <c r="Q517" s="304"/>
      <c r="R517" s="304"/>
      <c r="S517" s="304"/>
      <c r="T517" s="304"/>
      <c r="U517" s="304"/>
      <c r="V517" s="304"/>
      <c r="W517" s="304"/>
      <c r="X517" s="304"/>
      <c r="Y517" s="304"/>
      <c r="Z517" s="304"/>
    </row>
    <row r="518" spans="1:26" x14ac:dyDescent="0.2">
      <c r="A518" s="304"/>
      <c r="B518" s="304"/>
      <c r="C518" s="304"/>
      <c r="D518" s="304"/>
      <c r="E518" s="304"/>
      <c r="F518" s="304"/>
      <c r="G518" s="304"/>
      <c r="H518" s="304"/>
      <c r="I518" s="304"/>
      <c r="J518" s="304"/>
      <c r="K518" s="304"/>
      <c r="L518" s="304"/>
      <c r="M518" s="304"/>
      <c r="N518" s="304"/>
      <c r="O518" s="304"/>
      <c r="P518" s="304"/>
      <c r="Q518" s="304"/>
      <c r="R518" s="304"/>
      <c r="S518" s="304"/>
      <c r="T518" s="304"/>
      <c r="U518" s="304"/>
      <c r="V518" s="304"/>
      <c r="W518" s="304"/>
      <c r="X518" s="304"/>
      <c r="Y518" s="304"/>
      <c r="Z518" s="304"/>
    </row>
    <row r="519" spans="1:26" x14ac:dyDescent="0.2">
      <c r="A519" s="304"/>
      <c r="B519" s="304"/>
      <c r="C519" s="304"/>
      <c r="D519" s="304"/>
      <c r="E519" s="304"/>
      <c r="F519" s="304"/>
      <c r="G519" s="304"/>
      <c r="H519" s="304"/>
      <c r="I519" s="304"/>
      <c r="J519" s="304"/>
      <c r="K519" s="304"/>
      <c r="L519" s="304"/>
      <c r="M519" s="304"/>
      <c r="N519" s="304"/>
      <c r="O519" s="304"/>
      <c r="P519" s="304"/>
      <c r="Q519" s="304"/>
      <c r="R519" s="304"/>
      <c r="S519" s="304"/>
      <c r="T519" s="304"/>
      <c r="U519" s="304"/>
      <c r="V519" s="304"/>
      <c r="W519" s="304"/>
      <c r="X519" s="304"/>
      <c r="Y519" s="304"/>
      <c r="Z519" s="304"/>
    </row>
    <row r="520" spans="1:26" x14ac:dyDescent="0.2">
      <c r="A520" s="304"/>
      <c r="B520" s="304"/>
      <c r="C520" s="304"/>
      <c r="D520" s="304"/>
      <c r="E520" s="304"/>
      <c r="F520" s="304"/>
      <c r="G520" s="304"/>
      <c r="H520" s="304"/>
      <c r="I520" s="304"/>
      <c r="J520" s="304"/>
      <c r="K520" s="304"/>
      <c r="L520" s="304"/>
      <c r="M520" s="304"/>
      <c r="N520" s="304"/>
      <c r="O520" s="304"/>
      <c r="P520" s="304"/>
      <c r="Q520" s="304"/>
      <c r="R520" s="304"/>
      <c r="S520" s="304"/>
      <c r="T520" s="304"/>
      <c r="U520" s="304"/>
      <c r="V520" s="304"/>
      <c r="W520" s="304"/>
      <c r="X520" s="304"/>
      <c r="Y520" s="304"/>
      <c r="Z520" s="304"/>
    </row>
    <row r="521" spans="1:26" x14ac:dyDescent="0.2">
      <c r="A521" s="304"/>
      <c r="B521" s="304"/>
      <c r="C521" s="304"/>
      <c r="D521" s="304"/>
      <c r="E521" s="304"/>
      <c r="F521" s="304"/>
      <c r="G521" s="304"/>
      <c r="H521" s="304"/>
      <c r="I521" s="304"/>
      <c r="J521" s="304"/>
      <c r="K521" s="304"/>
      <c r="L521" s="304"/>
      <c r="M521" s="304"/>
      <c r="N521" s="304"/>
      <c r="O521" s="304"/>
      <c r="P521" s="304"/>
      <c r="Q521" s="304"/>
      <c r="R521" s="304"/>
      <c r="S521" s="304"/>
      <c r="T521" s="304"/>
      <c r="U521" s="304"/>
      <c r="V521" s="304"/>
      <c r="W521" s="304"/>
      <c r="X521" s="304"/>
      <c r="Y521" s="304"/>
      <c r="Z521" s="304"/>
    </row>
    <row r="522" spans="1:26" x14ac:dyDescent="0.2">
      <c r="A522" s="304"/>
      <c r="B522" s="304"/>
      <c r="C522" s="304"/>
      <c r="D522" s="304"/>
      <c r="E522" s="304"/>
      <c r="F522" s="304"/>
      <c r="G522" s="304"/>
      <c r="H522" s="304"/>
      <c r="I522" s="304"/>
      <c r="J522" s="304"/>
      <c r="K522" s="304"/>
      <c r="L522" s="304"/>
      <c r="M522" s="304"/>
      <c r="N522" s="304"/>
      <c r="O522" s="304"/>
      <c r="P522" s="304"/>
      <c r="Q522" s="304"/>
      <c r="R522" s="304"/>
      <c r="S522" s="304"/>
      <c r="T522" s="304"/>
      <c r="U522" s="304"/>
      <c r="V522" s="304"/>
      <c r="W522" s="304"/>
      <c r="X522" s="304"/>
      <c r="Y522" s="304"/>
      <c r="Z522" s="304"/>
    </row>
    <row r="523" spans="1:26" x14ac:dyDescent="0.2">
      <c r="A523" s="304"/>
      <c r="B523" s="304"/>
      <c r="C523" s="304"/>
      <c r="D523" s="304"/>
      <c r="E523" s="304"/>
      <c r="F523" s="304"/>
      <c r="G523" s="304"/>
      <c r="H523" s="304"/>
      <c r="I523" s="304"/>
      <c r="J523" s="304"/>
      <c r="K523" s="304"/>
      <c r="L523" s="304"/>
      <c r="M523" s="304"/>
      <c r="N523" s="304"/>
      <c r="O523" s="304"/>
      <c r="P523" s="304"/>
      <c r="Q523" s="304"/>
      <c r="R523" s="304"/>
      <c r="S523" s="304"/>
      <c r="T523" s="304"/>
      <c r="U523" s="304"/>
      <c r="V523" s="304"/>
      <c r="W523" s="304"/>
      <c r="X523" s="304"/>
      <c r="Y523" s="304"/>
      <c r="Z523" s="304"/>
    </row>
    <row r="524" spans="1:26" x14ac:dyDescent="0.2">
      <c r="A524" s="304"/>
      <c r="B524" s="304"/>
      <c r="C524" s="304"/>
      <c r="D524" s="304"/>
      <c r="E524" s="304"/>
      <c r="F524" s="304"/>
      <c r="G524" s="304"/>
      <c r="H524" s="304"/>
      <c r="I524" s="304"/>
      <c r="J524" s="304"/>
      <c r="K524" s="304"/>
      <c r="L524" s="304"/>
      <c r="M524" s="304"/>
      <c r="N524" s="304"/>
      <c r="O524" s="304"/>
      <c r="P524" s="304"/>
      <c r="Q524" s="304"/>
      <c r="R524" s="304"/>
      <c r="S524" s="304"/>
      <c r="T524" s="304"/>
      <c r="U524" s="304"/>
      <c r="V524" s="304"/>
      <c r="W524" s="304"/>
      <c r="X524" s="304"/>
      <c r="Y524" s="304"/>
      <c r="Z524" s="304"/>
    </row>
    <row r="525" spans="1:26" x14ac:dyDescent="0.2">
      <c r="A525" s="304"/>
      <c r="B525" s="304"/>
      <c r="C525" s="304"/>
      <c r="D525" s="304"/>
      <c r="E525" s="304"/>
      <c r="F525" s="304"/>
      <c r="G525" s="304"/>
      <c r="H525" s="304"/>
      <c r="I525" s="304"/>
      <c r="J525" s="304"/>
      <c r="K525" s="304"/>
      <c r="L525" s="304"/>
      <c r="M525" s="304"/>
      <c r="N525" s="304"/>
      <c r="O525" s="304"/>
      <c r="P525" s="304"/>
      <c r="Q525" s="304"/>
      <c r="R525" s="304"/>
      <c r="S525" s="304"/>
      <c r="T525" s="304"/>
      <c r="U525" s="304"/>
      <c r="V525" s="304"/>
      <c r="W525" s="304"/>
      <c r="X525" s="304"/>
      <c r="Y525" s="304"/>
      <c r="Z525" s="304"/>
    </row>
    <row r="526" spans="1:26" x14ac:dyDescent="0.2">
      <c r="A526" s="304"/>
      <c r="B526" s="304"/>
      <c r="C526" s="304"/>
      <c r="D526" s="304"/>
      <c r="E526" s="304"/>
      <c r="F526" s="304"/>
      <c r="G526" s="304"/>
      <c r="H526" s="304"/>
      <c r="I526" s="304"/>
      <c r="J526" s="304"/>
      <c r="K526" s="304"/>
      <c r="L526" s="304"/>
      <c r="M526" s="304"/>
      <c r="N526" s="304"/>
      <c r="O526" s="304"/>
      <c r="P526" s="304"/>
      <c r="Q526" s="304"/>
      <c r="R526" s="304"/>
      <c r="S526" s="304"/>
      <c r="T526" s="304"/>
      <c r="U526" s="304"/>
      <c r="V526" s="304"/>
      <c r="W526" s="304"/>
      <c r="X526" s="304"/>
      <c r="Y526" s="304"/>
      <c r="Z526" s="304"/>
    </row>
    <row r="527" spans="1:26" x14ac:dyDescent="0.2">
      <c r="A527" s="304"/>
      <c r="B527" s="304"/>
      <c r="C527" s="304"/>
      <c r="D527" s="304"/>
      <c r="E527" s="304"/>
      <c r="F527" s="304"/>
      <c r="G527" s="304"/>
      <c r="H527" s="304"/>
      <c r="I527" s="304"/>
      <c r="J527" s="304"/>
      <c r="K527" s="304"/>
      <c r="L527" s="304"/>
      <c r="M527" s="304"/>
      <c r="N527" s="304"/>
      <c r="O527" s="304"/>
      <c r="P527" s="304"/>
      <c r="Q527" s="304"/>
      <c r="R527" s="304"/>
      <c r="S527" s="304"/>
      <c r="T527" s="304"/>
      <c r="U527" s="304"/>
      <c r="V527" s="304"/>
      <c r="W527" s="304"/>
      <c r="X527" s="304"/>
      <c r="Y527" s="304"/>
      <c r="Z527" s="304"/>
    </row>
    <row r="528" spans="1:26" x14ac:dyDescent="0.2">
      <c r="A528" s="304"/>
      <c r="B528" s="304"/>
      <c r="C528" s="304"/>
      <c r="D528" s="304"/>
      <c r="E528" s="304"/>
      <c r="F528" s="304"/>
      <c r="G528" s="304"/>
      <c r="H528" s="304"/>
      <c r="I528" s="304"/>
      <c r="J528" s="304"/>
      <c r="K528" s="304"/>
      <c r="L528" s="304"/>
      <c r="M528" s="304"/>
      <c r="N528" s="304"/>
      <c r="O528" s="304"/>
      <c r="P528" s="304"/>
      <c r="Q528" s="304"/>
      <c r="R528" s="304"/>
      <c r="S528" s="304"/>
      <c r="T528" s="304"/>
      <c r="U528" s="304"/>
      <c r="V528" s="304"/>
      <c r="W528" s="304"/>
      <c r="X528" s="304"/>
      <c r="Y528" s="304"/>
      <c r="Z528" s="304"/>
    </row>
    <row r="529" spans="1:26" x14ac:dyDescent="0.2">
      <c r="A529" s="304"/>
      <c r="B529" s="304"/>
      <c r="C529" s="304"/>
      <c r="D529" s="304"/>
      <c r="E529" s="304"/>
      <c r="F529" s="304"/>
      <c r="G529" s="304"/>
      <c r="H529" s="304"/>
      <c r="I529" s="304"/>
      <c r="J529" s="304"/>
      <c r="K529" s="304"/>
      <c r="L529" s="304"/>
      <c r="M529" s="304"/>
      <c r="N529" s="304"/>
      <c r="O529" s="304"/>
      <c r="P529" s="304"/>
      <c r="Q529" s="304"/>
      <c r="R529" s="304"/>
      <c r="S529" s="304"/>
      <c r="T529" s="304"/>
      <c r="U529" s="304"/>
      <c r="V529" s="304"/>
      <c r="W529" s="304"/>
      <c r="X529" s="304"/>
      <c r="Y529" s="304"/>
      <c r="Z529" s="304"/>
    </row>
    <row r="530" spans="1:26" x14ac:dyDescent="0.2">
      <c r="A530" s="304"/>
      <c r="B530" s="304"/>
      <c r="C530" s="304"/>
      <c r="D530" s="304"/>
      <c r="E530" s="304"/>
      <c r="F530" s="304"/>
      <c r="G530" s="304"/>
      <c r="H530" s="304"/>
      <c r="I530" s="304"/>
      <c r="J530" s="304"/>
      <c r="K530" s="304"/>
      <c r="L530" s="304"/>
      <c r="M530" s="304"/>
      <c r="N530" s="304"/>
      <c r="O530" s="304"/>
      <c r="P530" s="304"/>
      <c r="Q530" s="304"/>
      <c r="R530" s="304"/>
      <c r="S530" s="304"/>
      <c r="T530" s="304"/>
      <c r="U530" s="304"/>
      <c r="V530" s="304"/>
      <c r="W530" s="304"/>
      <c r="X530" s="304"/>
      <c r="Y530" s="304"/>
      <c r="Z530" s="304"/>
    </row>
    <row r="531" spans="1:26" x14ac:dyDescent="0.2">
      <c r="A531" s="304"/>
      <c r="B531" s="304"/>
      <c r="C531" s="304"/>
      <c r="D531" s="304"/>
      <c r="E531" s="304"/>
      <c r="F531" s="304"/>
      <c r="G531" s="304"/>
      <c r="H531" s="304"/>
      <c r="I531" s="304"/>
      <c r="J531" s="304"/>
      <c r="K531" s="304"/>
      <c r="L531" s="304"/>
      <c r="M531" s="304"/>
      <c r="N531" s="304"/>
      <c r="O531" s="304"/>
      <c r="P531" s="304"/>
      <c r="Q531" s="304"/>
      <c r="R531" s="304"/>
      <c r="S531" s="304"/>
      <c r="T531" s="304"/>
      <c r="U531" s="304"/>
      <c r="V531" s="304"/>
      <c r="W531" s="304"/>
      <c r="X531" s="304"/>
      <c r="Y531" s="304"/>
      <c r="Z531" s="304"/>
    </row>
    <row r="532" spans="1:26" x14ac:dyDescent="0.2">
      <c r="A532" s="304"/>
      <c r="B532" s="304"/>
      <c r="C532" s="304"/>
      <c r="D532" s="304"/>
      <c r="E532" s="304"/>
      <c r="F532" s="304"/>
      <c r="G532" s="304"/>
      <c r="H532" s="304"/>
      <c r="I532" s="304"/>
      <c r="J532" s="304"/>
      <c r="K532" s="304"/>
      <c r="L532" s="304"/>
      <c r="M532" s="304"/>
      <c r="N532" s="304"/>
      <c r="O532" s="304"/>
      <c r="P532" s="304"/>
      <c r="Q532" s="304"/>
      <c r="R532" s="304"/>
      <c r="S532" s="304"/>
      <c r="T532" s="304"/>
      <c r="U532" s="304"/>
      <c r="V532" s="304"/>
      <c r="W532" s="304"/>
      <c r="X532" s="304"/>
      <c r="Y532" s="304"/>
      <c r="Z532" s="304"/>
    </row>
    <row r="533" spans="1:26" x14ac:dyDescent="0.2">
      <c r="A533" s="304"/>
      <c r="B533" s="304"/>
      <c r="C533" s="304"/>
      <c r="D533" s="304"/>
      <c r="E533" s="304"/>
      <c r="F533" s="304"/>
      <c r="G533" s="304"/>
      <c r="H533" s="304"/>
      <c r="I533" s="304"/>
      <c r="J533" s="304"/>
      <c r="K533" s="304"/>
      <c r="L533" s="304"/>
      <c r="M533" s="304"/>
      <c r="N533" s="304"/>
      <c r="O533" s="304"/>
      <c r="P533" s="304"/>
      <c r="Q533" s="304"/>
      <c r="R533" s="304"/>
      <c r="S533" s="304"/>
      <c r="T533" s="304"/>
      <c r="U533" s="304"/>
      <c r="V533" s="304"/>
      <c r="W533" s="304"/>
      <c r="X533" s="304"/>
      <c r="Y533" s="304"/>
      <c r="Z533" s="304"/>
    </row>
    <row r="534" spans="1:26" x14ac:dyDescent="0.2">
      <c r="A534" s="304"/>
      <c r="B534" s="304"/>
      <c r="C534" s="304"/>
      <c r="D534" s="304"/>
      <c r="E534" s="304"/>
      <c r="F534" s="304"/>
      <c r="G534" s="304"/>
      <c r="H534" s="304"/>
      <c r="I534" s="304"/>
      <c r="J534" s="304"/>
      <c r="K534" s="304"/>
      <c r="L534" s="304"/>
      <c r="M534" s="304"/>
      <c r="N534" s="304"/>
      <c r="O534" s="304"/>
      <c r="P534" s="304"/>
      <c r="Q534" s="304"/>
      <c r="R534" s="304"/>
      <c r="S534" s="304"/>
      <c r="T534" s="304"/>
      <c r="U534" s="304"/>
      <c r="V534" s="304"/>
      <c r="W534" s="304"/>
      <c r="X534" s="304"/>
      <c r="Y534" s="304"/>
      <c r="Z534" s="304"/>
    </row>
    <row r="535" spans="1:26" x14ac:dyDescent="0.2">
      <c r="A535" s="304"/>
      <c r="B535" s="304"/>
      <c r="C535" s="304"/>
      <c r="D535" s="304"/>
      <c r="E535" s="304"/>
      <c r="F535" s="304"/>
      <c r="G535" s="304"/>
      <c r="H535" s="304"/>
      <c r="I535" s="304"/>
      <c r="J535" s="304"/>
      <c r="K535" s="304"/>
      <c r="L535" s="304"/>
      <c r="M535" s="304"/>
      <c r="N535" s="304"/>
      <c r="O535" s="304"/>
      <c r="P535" s="304"/>
      <c r="Q535" s="304"/>
      <c r="R535" s="304"/>
      <c r="S535" s="304"/>
      <c r="T535" s="304"/>
      <c r="U535" s="304"/>
      <c r="V535" s="304"/>
      <c r="W535" s="304"/>
      <c r="X535" s="304"/>
      <c r="Y535" s="304"/>
      <c r="Z535" s="304"/>
    </row>
    <row r="536" spans="1:26" x14ac:dyDescent="0.2">
      <c r="A536" s="304"/>
      <c r="B536" s="304"/>
      <c r="C536" s="304"/>
      <c r="D536" s="304"/>
      <c r="E536" s="304"/>
      <c r="F536" s="304"/>
      <c r="G536" s="304"/>
      <c r="H536" s="304"/>
      <c r="I536" s="304"/>
      <c r="J536" s="304"/>
      <c r="K536" s="304"/>
      <c r="L536" s="304"/>
      <c r="M536" s="304"/>
      <c r="N536" s="304"/>
      <c r="O536" s="304"/>
      <c r="P536" s="304"/>
      <c r="Q536" s="304"/>
      <c r="R536" s="304"/>
      <c r="S536" s="304"/>
      <c r="T536" s="304"/>
      <c r="U536" s="304"/>
      <c r="V536" s="304"/>
      <c r="W536" s="304"/>
      <c r="X536" s="304"/>
      <c r="Y536" s="304"/>
      <c r="Z536" s="304"/>
    </row>
    <row r="537" spans="1:26" x14ac:dyDescent="0.2">
      <c r="A537" s="304"/>
      <c r="B537" s="304"/>
      <c r="C537" s="304"/>
      <c r="D537" s="304"/>
      <c r="E537" s="304"/>
      <c r="F537" s="304"/>
      <c r="G537" s="304"/>
      <c r="H537" s="304"/>
      <c r="I537" s="304"/>
      <c r="J537" s="304"/>
      <c r="K537" s="304"/>
      <c r="L537" s="304"/>
      <c r="M537" s="304"/>
      <c r="N537" s="304"/>
      <c r="O537" s="304"/>
      <c r="P537" s="304"/>
      <c r="Q537" s="304"/>
      <c r="R537" s="304"/>
      <c r="S537" s="304"/>
      <c r="T537" s="304"/>
      <c r="U537" s="304"/>
      <c r="V537" s="304"/>
      <c r="W537" s="304"/>
      <c r="X537" s="304"/>
      <c r="Y537" s="304"/>
      <c r="Z537" s="304"/>
    </row>
    <row r="538" spans="1:26" x14ac:dyDescent="0.2">
      <c r="A538" s="304"/>
      <c r="B538" s="304"/>
      <c r="C538" s="304"/>
      <c r="D538" s="304"/>
      <c r="E538" s="304"/>
      <c r="F538" s="304"/>
      <c r="G538" s="304"/>
      <c r="H538" s="304"/>
      <c r="I538" s="304"/>
      <c r="J538" s="304"/>
      <c r="K538" s="304"/>
      <c r="L538" s="304"/>
      <c r="M538" s="304"/>
      <c r="N538" s="304"/>
      <c r="O538" s="304"/>
      <c r="P538" s="304"/>
      <c r="Q538" s="304"/>
      <c r="R538" s="304"/>
      <c r="S538" s="304"/>
      <c r="T538" s="304"/>
      <c r="U538" s="304"/>
      <c r="V538" s="304"/>
      <c r="W538" s="304"/>
      <c r="X538" s="304"/>
      <c r="Y538" s="304"/>
      <c r="Z538" s="304"/>
    </row>
    <row r="539" spans="1:26" x14ac:dyDescent="0.2">
      <c r="A539" s="304"/>
      <c r="B539" s="304"/>
      <c r="C539" s="304"/>
      <c r="D539" s="304"/>
      <c r="E539" s="304"/>
      <c r="F539" s="304"/>
      <c r="G539" s="304"/>
      <c r="H539" s="304"/>
      <c r="I539" s="304"/>
      <c r="J539" s="304"/>
      <c r="K539" s="304"/>
      <c r="L539" s="304"/>
      <c r="M539" s="304"/>
      <c r="N539" s="304"/>
      <c r="O539" s="304"/>
      <c r="P539" s="304"/>
      <c r="Q539" s="304"/>
      <c r="R539" s="304"/>
      <c r="S539" s="304"/>
      <c r="T539" s="304"/>
      <c r="U539" s="304"/>
      <c r="V539" s="304"/>
      <c r="W539" s="304"/>
      <c r="X539" s="304"/>
      <c r="Y539" s="304"/>
      <c r="Z539" s="304"/>
    </row>
    <row r="540" spans="1:26" x14ac:dyDescent="0.2">
      <c r="A540" s="304"/>
      <c r="B540" s="304"/>
      <c r="C540" s="304"/>
      <c r="D540" s="304"/>
      <c r="E540" s="304"/>
      <c r="F540" s="304"/>
      <c r="G540" s="304"/>
      <c r="H540" s="304"/>
      <c r="I540" s="304"/>
      <c r="J540" s="304"/>
      <c r="K540" s="304"/>
      <c r="L540" s="304"/>
      <c r="M540" s="304"/>
      <c r="N540" s="304"/>
      <c r="O540" s="304"/>
      <c r="P540" s="304"/>
      <c r="Q540" s="304"/>
      <c r="R540" s="304"/>
      <c r="S540" s="304"/>
      <c r="T540" s="304"/>
      <c r="U540" s="304"/>
      <c r="V540" s="304"/>
      <c r="W540" s="304"/>
      <c r="X540" s="304"/>
      <c r="Y540" s="304"/>
      <c r="Z540" s="304"/>
    </row>
    <row r="541" spans="1:26" x14ac:dyDescent="0.2">
      <c r="A541" s="304"/>
      <c r="B541" s="304"/>
      <c r="C541" s="304"/>
      <c r="D541" s="304"/>
      <c r="E541" s="304"/>
      <c r="F541" s="304"/>
      <c r="G541" s="304"/>
      <c r="H541" s="304"/>
      <c r="I541" s="304"/>
      <c r="J541" s="304"/>
      <c r="K541" s="304"/>
      <c r="L541" s="304"/>
      <c r="M541" s="304"/>
      <c r="N541" s="304"/>
      <c r="O541" s="304"/>
      <c r="P541" s="304"/>
      <c r="Q541" s="304"/>
      <c r="R541" s="304"/>
      <c r="S541" s="304"/>
      <c r="T541" s="304"/>
      <c r="U541" s="304"/>
      <c r="V541" s="304"/>
      <c r="W541" s="304"/>
      <c r="X541" s="304"/>
      <c r="Y541" s="304"/>
      <c r="Z541" s="304"/>
    </row>
    <row r="542" spans="1:26" x14ac:dyDescent="0.2">
      <c r="A542" s="304"/>
      <c r="B542" s="304"/>
      <c r="C542" s="304"/>
      <c r="D542" s="304"/>
      <c r="E542" s="304"/>
      <c r="F542" s="304"/>
      <c r="G542" s="304"/>
      <c r="H542" s="304"/>
      <c r="I542" s="304"/>
      <c r="J542" s="304"/>
      <c r="K542" s="304"/>
      <c r="L542" s="304"/>
      <c r="M542" s="304"/>
      <c r="N542" s="304"/>
      <c r="O542" s="304"/>
      <c r="P542" s="304"/>
      <c r="Q542" s="304"/>
      <c r="R542" s="304"/>
      <c r="S542" s="304"/>
      <c r="T542" s="304"/>
      <c r="U542" s="304"/>
      <c r="V542" s="304"/>
      <c r="W542" s="304"/>
      <c r="X542" s="304"/>
      <c r="Y542" s="304"/>
      <c r="Z542" s="304"/>
    </row>
    <row r="543" spans="1:26" x14ac:dyDescent="0.2">
      <c r="A543" s="304"/>
      <c r="B543" s="304"/>
      <c r="C543" s="304"/>
      <c r="D543" s="304"/>
      <c r="E543" s="304"/>
      <c r="F543" s="304"/>
      <c r="G543" s="304"/>
      <c r="H543" s="304"/>
      <c r="I543" s="304"/>
      <c r="J543" s="304"/>
      <c r="K543" s="304"/>
      <c r="L543" s="304"/>
      <c r="M543" s="304"/>
      <c r="N543" s="304"/>
      <c r="O543" s="304"/>
      <c r="P543" s="304"/>
      <c r="Q543" s="304"/>
      <c r="R543" s="304"/>
      <c r="S543" s="304"/>
      <c r="T543" s="304"/>
      <c r="U543" s="304"/>
      <c r="V543" s="304"/>
      <c r="W543" s="304"/>
      <c r="X543" s="304"/>
      <c r="Y543" s="304"/>
      <c r="Z543" s="304"/>
    </row>
    <row r="544" spans="1:26" x14ac:dyDescent="0.2">
      <c r="A544" s="304"/>
      <c r="B544" s="304"/>
      <c r="C544" s="304"/>
      <c r="D544" s="304"/>
      <c r="E544" s="304"/>
      <c r="F544" s="304"/>
      <c r="G544" s="304"/>
      <c r="H544" s="304"/>
      <c r="I544" s="304"/>
      <c r="J544" s="304"/>
      <c r="K544" s="304"/>
      <c r="L544" s="304"/>
      <c r="M544" s="304"/>
      <c r="N544" s="304"/>
      <c r="O544" s="304"/>
      <c r="P544" s="304"/>
      <c r="Q544" s="304"/>
      <c r="R544" s="304"/>
      <c r="S544" s="304"/>
      <c r="T544" s="304"/>
      <c r="U544" s="304"/>
      <c r="V544" s="304"/>
      <c r="W544" s="304"/>
      <c r="X544" s="304"/>
      <c r="Y544" s="304"/>
      <c r="Z544" s="304"/>
    </row>
    <row r="545" spans="1:26" x14ac:dyDescent="0.2">
      <c r="A545" s="304"/>
      <c r="B545" s="304"/>
      <c r="C545" s="304"/>
      <c r="D545" s="304"/>
      <c r="E545" s="304"/>
      <c r="F545" s="304"/>
      <c r="G545" s="304"/>
      <c r="H545" s="304"/>
      <c r="I545" s="304"/>
      <c r="J545" s="304"/>
      <c r="K545" s="304"/>
      <c r="L545" s="304"/>
      <c r="M545" s="304"/>
      <c r="N545" s="304"/>
      <c r="O545" s="304"/>
      <c r="P545" s="304"/>
      <c r="Q545" s="304"/>
      <c r="R545" s="304"/>
      <c r="S545" s="304"/>
      <c r="T545" s="304"/>
      <c r="U545" s="304"/>
      <c r="V545" s="304"/>
      <c r="W545" s="304"/>
      <c r="X545" s="304"/>
      <c r="Y545" s="304"/>
      <c r="Z545" s="304"/>
    </row>
    <row r="546" spans="1:26" x14ac:dyDescent="0.2">
      <c r="A546" s="304"/>
      <c r="B546" s="304"/>
      <c r="C546" s="304"/>
      <c r="D546" s="304"/>
      <c r="E546" s="304"/>
      <c r="F546" s="304"/>
      <c r="G546" s="304"/>
      <c r="H546" s="304"/>
      <c r="I546" s="304"/>
      <c r="J546" s="304"/>
      <c r="K546" s="304"/>
      <c r="L546" s="304"/>
      <c r="M546" s="304"/>
      <c r="N546" s="304"/>
      <c r="O546" s="304"/>
      <c r="P546" s="304"/>
      <c r="Q546" s="304"/>
      <c r="R546" s="304"/>
      <c r="S546" s="304"/>
      <c r="T546" s="304"/>
      <c r="U546" s="304"/>
      <c r="V546" s="304"/>
      <c r="W546" s="304"/>
      <c r="X546" s="304"/>
      <c r="Y546" s="304"/>
      <c r="Z546" s="304"/>
    </row>
    <row r="547" spans="1:26" x14ac:dyDescent="0.2">
      <c r="A547" s="304"/>
      <c r="B547" s="304"/>
      <c r="C547" s="304"/>
      <c r="D547" s="304"/>
      <c r="E547" s="304"/>
      <c r="F547" s="304"/>
      <c r="G547" s="304"/>
      <c r="H547" s="304"/>
      <c r="I547" s="304"/>
      <c r="J547" s="304"/>
      <c r="K547" s="304"/>
      <c r="L547" s="304"/>
      <c r="M547" s="304"/>
      <c r="N547" s="304"/>
      <c r="O547" s="304"/>
      <c r="P547" s="304"/>
      <c r="Q547" s="304"/>
      <c r="R547" s="304"/>
      <c r="S547" s="304"/>
      <c r="T547" s="304"/>
      <c r="U547" s="304"/>
      <c r="V547" s="304"/>
      <c r="W547" s="304"/>
      <c r="X547" s="304"/>
      <c r="Y547" s="304"/>
      <c r="Z547" s="304"/>
    </row>
    <row r="548" spans="1:26" x14ac:dyDescent="0.2">
      <c r="A548" s="304"/>
      <c r="B548" s="304"/>
      <c r="C548" s="304"/>
      <c r="D548" s="304"/>
      <c r="E548" s="304"/>
      <c r="F548" s="304"/>
      <c r="G548" s="304"/>
      <c r="H548" s="304"/>
      <c r="I548" s="304"/>
      <c r="J548" s="304"/>
      <c r="K548" s="304"/>
      <c r="L548" s="304"/>
      <c r="M548" s="304"/>
      <c r="N548" s="304"/>
      <c r="O548" s="304"/>
      <c r="P548" s="304"/>
      <c r="Q548" s="304"/>
      <c r="R548" s="304"/>
      <c r="S548" s="304"/>
      <c r="T548" s="304"/>
      <c r="U548" s="304"/>
      <c r="V548" s="304"/>
      <c r="W548" s="304"/>
      <c r="X548" s="304"/>
      <c r="Y548" s="304"/>
      <c r="Z548" s="304"/>
    </row>
    <row r="549" spans="1:26" x14ac:dyDescent="0.2">
      <c r="A549" s="304"/>
      <c r="B549" s="304"/>
      <c r="C549" s="304"/>
      <c r="D549" s="304"/>
      <c r="E549" s="304"/>
      <c r="F549" s="304"/>
      <c r="G549" s="304"/>
      <c r="H549" s="304"/>
      <c r="I549" s="304"/>
      <c r="J549" s="304"/>
      <c r="K549" s="304"/>
      <c r="L549" s="304"/>
      <c r="M549" s="304"/>
      <c r="N549" s="304"/>
      <c r="O549" s="304"/>
      <c r="P549" s="304"/>
      <c r="Q549" s="304"/>
      <c r="R549" s="304"/>
      <c r="S549" s="304"/>
      <c r="T549" s="304"/>
      <c r="U549" s="304"/>
      <c r="V549" s="304"/>
      <c r="W549" s="304"/>
      <c r="X549" s="304"/>
      <c r="Y549" s="304"/>
      <c r="Z549" s="304"/>
    </row>
    <row r="550" spans="1:26" x14ac:dyDescent="0.2">
      <c r="A550" s="304"/>
      <c r="B550" s="304"/>
      <c r="C550" s="304"/>
      <c r="D550" s="304"/>
      <c r="E550" s="304"/>
      <c r="F550" s="304"/>
      <c r="G550" s="304"/>
      <c r="H550" s="304"/>
      <c r="I550" s="304"/>
      <c r="J550" s="304"/>
      <c r="K550" s="304"/>
      <c r="L550" s="304"/>
      <c r="M550" s="304"/>
      <c r="N550" s="304"/>
      <c r="O550" s="304"/>
      <c r="P550" s="304"/>
      <c r="Q550" s="304"/>
      <c r="R550" s="304"/>
      <c r="S550" s="304"/>
      <c r="T550" s="304"/>
      <c r="U550" s="304"/>
      <c r="V550" s="304"/>
      <c r="W550" s="304"/>
      <c r="X550" s="304"/>
      <c r="Y550" s="304"/>
      <c r="Z550" s="304"/>
    </row>
    <row r="551" spans="1:26" x14ac:dyDescent="0.2">
      <c r="A551" s="304"/>
      <c r="B551" s="304"/>
      <c r="C551" s="304"/>
      <c r="D551" s="304"/>
      <c r="E551" s="304"/>
      <c r="F551" s="304"/>
      <c r="G551" s="304"/>
      <c r="H551" s="304"/>
      <c r="I551" s="304"/>
      <c r="J551" s="304"/>
      <c r="K551" s="304"/>
      <c r="L551" s="304"/>
      <c r="M551" s="304"/>
      <c r="N551" s="304"/>
      <c r="O551" s="304"/>
      <c r="P551" s="304"/>
      <c r="Q551" s="304"/>
      <c r="R551" s="304"/>
      <c r="S551" s="304"/>
      <c r="T551" s="304"/>
      <c r="U551" s="304"/>
      <c r="V551" s="304"/>
      <c r="W551" s="304"/>
      <c r="X551" s="304"/>
      <c r="Y551" s="304"/>
      <c r="Z551" s="304"/>
    </row>
    <row r="552" spans="1:26" x14ac:dyDescent="0.2">
      <c r="A552" s="304"/>
      <c r="B552" s="304"/>
      <c r="C552" s="304"/>
      <c r="D552" s="304"/>
      <c r="E552" s="304"/>
      <c r="F552" s="304"/>
      <c r="G552" s="304"/>
      <c r="H552" s="304"/>
      <c r="I552" s="304"/>
      <c r="J552" s="304"/>
      <c r="K552" s="304"/>
      <c r="L552" s="304"/>
      <c r="M552" s="304"/>
      <c r="N552" s="304"/>
      <c r="O552" s="304"/>
      <c r="P552" s="304"/>
      <c r="Q552" s="304"/>
      <c r="R552" s="304"/>
      <c r="S552" s="304"/>
      <c r="T552" s="304"/>
      <c r="U552" s="304"/>
      <c r="V552" s="304"/>
      <c r="W552" s="304"/>
      <c r="X552" s="304"/>
      <c r="Y552" s="304"/>
      <c r="Z552" s="304"/>
    </row>
    <row r="553" spans="1:26" x14ac:dyDescent="0.2">
      <c r="A553" s="304"/>
      <c r="B553" s="304"/>
      <c r="C553" s="304"/>
      <c r="D553" s="304"/>
      <c r="E553" s="304"/>
      <c r="F553" s="304"/>
      <c r="G553" s="304"/>
      <c r="H553" s="304"/>
      <c r="I553" s="304"/>
      <c r="J553" s="304"/>
      <c r="K553" s="304"/>
      <c r="L553" s="304"/>
      <c r="M553" s="304"/>
      <c r="N553" s="304"/>
      <c r="O553" s="304"/>
      <c r="P553" s="304"/>
      <c r="Q553" s="304"/>
      <c r="R553" s="304"/>
      <c r="S553" s="304"/>
      <c r="T553" s="304"/>
      <c r="U553" s="304"/>
      <c r="V553" s="304"/>
      <c r="W553" s="304"/>
      <c r="X553" s="304"/>
      <c r="Y553" s="304"/>
      <c r="Z553" s="304"/>
    </row>
    <row r="554" spans="1:26" x14ac:dyDescent="0.2">
      <c r="A554" s="304"/>
      <c r="B554" s="304"/>
      <c r="C554" s="304"/>
      <c r="D554" s="304"/>
      <c r="E554" s="304"/>
      <c r="F554" s="304"/>
      <c r="G554" s="304"/>
      <c r="H554" s="304"/>
      <c r="I554" s="304"/>
      <c r="J554" s="304"/>
      <c r="K554" s="304"/>
      <c r="L554" s="304"/>
      <c r="M554" s="304"/>
      <c r="N554" s="304"/>
      <c r="O554" s="304"/>
      <c r="P554" s="304"/>
      <c r="Q554" s="304"/>
      <c r="R554" s="304"/>
      <c r="S554" s="304"/>
      <c r="T554" s="304"/>
      <c r="U554" s="304"/>
      <c r="V554" s="304"/>
      <c r="W554" s="304"/>
      <c r="X554" s="304"/>
      <c r="Y554" s="304"/>
      <c r="Z554" s="304"/>
    </row>
    <row r="555" spans="1:26" x14ac:dyDescent="0.2">
      <c r="A555" s="304"/>
      <c r="B555" s="304"/>
      <c r="C555" s="304"/>
      <c r="D555" s="304"/>
      <c r="E555" s="304"/>
      <c r="F555" s="304"/>
      <c r="G555" s="304"/>
      <c r="H555" s="304"/>
      <c r="I555" s="304"/>
      <c r="J555" s="304"/>
      <c r="K555" s="304"/>
      <c r="L555" s="304"/>
      <c r="M555" s="304"/>
      <c r="N555" s="304"/>
      <c r="O555" s="304"/>
      <c r="P555" s="304"/>
      <c r="Q555" s="304"/>
      <c r="R555" s="304"/>
      <c r="S555" s="304"/>
      <c r="T555" s="304"/>
      <c r="U555" s="304"/>
      <c r="V555" s="304"/>
      <c r="W555" s="304"/>
      <c r="X555" s="304"/>
      <c r="Y555" s="304"/>
      <c r="Z555" s="304"/>
    </row>
    <row r="556" spans="1:26" x14ac:dyDescent="0.2">
      <c r="A556" s="304"/>
      <c r="B556" s="304"/>
      <c r="C556" s="304"/>
      <c r="D556" s="304"/>
      <c r="E556" s="304"/>
      <c r="F556" s="304"/>
      <c r="G556" s="304"/>
      <c r="H556" s="304"/>
      <c r="I556" s="304"/>
      <c r="J556" s="304"/>
      <c r="K556" s="304"/>
      <c r="L556" s="304"/>
      <c r="M556" s="304"/>
      <c r="N556" s="304"/>
      <c r="O556" s="304"/>
      <c r="P556" s="304"/>
      <c r="Q556" s="304"/>
      <c r="R556" s="304"/>
      <c r="S556" s="304"/>
      <c r="T556" s="304"/>
      <c r="U556" s="304"/>
      <c r="V556" s="304"/>
      <c r="W556" s="304"/>
      <c r="X556" s="304"/>
      <c r="Y556" s="304"/>
      <c r="Z556" s="304"/>
    </row>
    <row r="557" spans="1:26" x14ac:dyDescent="0.2">
      <c r="A557" s="304"/>
      <c r="B557" s="304"/>
      <c r="C557" s="304"/>
      <c r="D557" s="304"/>
      <c r="E557" s="304"/>
      <c r="F557" s="304"/>
      <c r="G557" s="304"/>
      <c r="H557" s="304"/>
      <c r="I557" s="304"/>
      <c r="J557" s="304"/>
      <c r="K557" s="304"/>
      <c r="L557" s="304"/>
      <c r="M557" s="304"/>
      <c r="N557" s="304"/>
      <c r="O557" s="304"/>
      <c r="P557" s="304"/>
      <c r="Q557" s="304"/>
      <c r="R557" s="304"/>
      <c r="S557" s="304"/>
      <c r="T557" s="304"/>
      <c r="U557" s="304"/>
      <c r="V557" s="304"/>
      <c r="W557" s="304"/>
      <c r="X557" s="304"/>
      <c r="Y557" s="304"/>
      <c r="Z557" s="304"/>
    </row>
    <row r="558" spans="1:26" x14ac:dyDescent="0.2">
      <c r="A558" s="304"/>
      <c r="B558" s="304"/>
      <c r="C558" s="304"/>
      <c r="D558" s="304"/>
      <c r="E558" s="304"/>
      <c r="F558" s="304"/>
      <c r="G558" s="304"/>
      <c r="H558" s="304"/>
      <c r="I558" s="304"/>
      <c r="J558" s="304"/>
      <c r="K558" s="304"/>
      <c r="L558" s="304"/>
      <c r="M558" s="304"/>
      <c r="N558" s="304"/>
      <c r="O558" s="304"/>
      <c r="P558" s="304"/>
      <c r="Q558" s="304"/>
      <c r="R558" s="304"/>
      <c r="S558" s="304"/>
      <c r="T558" s="304"/>
      <c r="U558" s="304"/>
      <c r="V558" s="304"/>
      <c r="W558" s="304"/>
      <c r="X558" s="304"/>
      <c r="Y558" s="304"/>
      <c r="Z558" s="304"/>
    </row>
    <row r="559" spans="1:26" x14ac:dyDescent="0.2">
      <c r="A559" s="304"/>
      <c r="B559" s="304"/>
      <c r="C559" s="304"/>
      <c r="D559" s="304"/>
      <c r="E559" s="304"/>
      <c r="F559" s="304"/>
      <c r="G559" s="304"/>
      <c r="H559" s="304"/>
      <c r="I559" s="304"/>
      <c r="J559" s="304"/>
      <c r="K559" s="304"/>
      <c r="L559" s="304"/>
      <c r="M559" s="304"/>
      <c r="N559" s="304"/>
      <c r="O559" s="304"/>
      <c r="P559" s="304"/>
      <c r="Q559" s="304"/>
      <c r="R559" s="304"/>
      <c r="S559" s="304"/>
      <c r="T559" s="304"/>
      <c r="U559" s="304"/>
      <c r="V559" s="304"/>
      <c r="W559" s="304"/>
      <c r="X559" s="304"/>
      <c r="Y559" s="304"/>
      <c r="Z559" s="304"/>
    </row>
    <row r="560" spans="1:26" x14ac:dyDescent="0.2">
      <c r="A560" s="304"/>
      <c r="B560" s="304"/>
      <c r="C560" s="304"/>
      <c r="D560" s="304"/>
      <c r="E560" s="304"/>
      <c r="F560" s="304"/>
      <c r="G560" s="304"/>
      <c r="H560" s="304"/>
      <c r="I560" s="304"/>
      <c r="J560" s="304"/>
      <c r="K560" s="304"/>
      <c r="L560" s="304"/>
      <c r="M560" s="304"/>
      <c r="N560" s="304"/>
      <c r="O560" s="304"/>
      <c r="P560" s="304"/>
      <c r="Q560" s="304"/>
      <c r="R560" s="304"/>
      <c r="S560" s="304"/>
      <c r="T560" s="304"/>
      <c r="U560" s="304"/>
      <c r="V560" s="304"/>
      <c r="W560" s="304"/>
      <c r="X560" s="304"/>
      <c r="Y560" s="304"/>
      <c r="Z560" s="304"/>
    </row>
    <row r="561" spans="1:26" x14ac:dyDescent="0.2">
      <c r="A561" s="304"/>
      <c r="B561" s="304"/>
      <c r="C561" s="304"/>
      <c r="D561" s="304"/>
      <c r="E561" s="304"/>
      <c r="F561" s="304"/>
      <c r="G561" s="304"/>
      <c r="H561" s="304"/>
      <c r="I561" s="304"/>
      <c r="J561" s="304"/>
      <c r="K561" s="304"/>
      <c r="L561" s="304"/>
      <c r="M561" s="304"/>
      <c r="N561" s="304"/>
      <c r="O561" s="304"/>
      <c r="P561" s="304"/>
      <c r="Q561" s="304"/>
      <c r="R561" s="304"/>
      <c r="S561" s="304"/>
      <c r="T561" s="304"/>
      <c r="U561" s="304"/>
      <c r="V561" s="304"/>
      <c r="W561" s="304"/>
      <c r="X561" s="304"/>
      <c r="Y561" s="304"/>
      <c r="Z561" s="304"/>
    </row>
    <row r="562" spans="1:26" x14ac:dyDescent="0.2">
      <c r="A562" s="304"/>
      <c r="B562" s="304"/>
      <c r="C562" s="304"/>
      <c r="D562" s="304"/>
      <c r="E562" s="304"/>
      <c r="F562" s="304"/>
      <c r="G562" s="304"/>
      <c r="H562" s="304"/>
      <c r="I562" s="304"/>
      <c r="J562" s="304"/>
      <c r="K562" s="304"/>
      <c r="L562" s="304"/>
      <c r="M562" s="304"/>
      <c r="N562" s="304"/>
      <c r="O562" s="304"/>
      <c r="P562" s="304"/>
      <c r="Q562" s="304"/>
      <c r="R562" s="304"/>
      <c r="S562" s="304"/>
      <c r="T562" s="304"/>
      <c r="U562" s="304"/>
      <c r="V562" s="304"/>
      <c r="W562" s="304"/>
      <c r="X562" s="304"/>
      <c r="Y562" s="304"/>
      <c r="Z562" s="304"/>
    </row>
    <row r="563" spans="1:26" x14ac:dyDescent="0.2">
      <c r="A563" s="304"/>
      <c r="B563" s="304"/>
      <c r="C563" s="304"/>
      <c r="D563" s="304"/>
      <c r="E563" s="304"/>
      <c r="F563" s="304"/>
      <c r="G563" s="304"/>
      <c r="H563" s="304"/>
      <c r="I563" s="304"/>
      <c r="J563" s="304"/>
      <c r="K563" s="304"/>
      <c r="L563" s="304"/>
      <c r="M563" s="304"/>
      <c r="N563" s="304"/>
      <c r="O563" s="304"/>
      <c r="P563" s="304"/>
      <c r="Q563" s="304"/>
      <c r="R563" s="304"/>
      <c r="S563" s="304"/>
      <c r="T563" s="304"/>
      <c r="U563" s="304"/>
      <c r="V563" s="304"/>
      <c r="W563" s="304"/>
      <c r="X563" s="304"/>
      <c r="Y563" s="304"/>
      <c r="Z563" s="304"/>
    </row>
    <row r="564" spans="1:26" x14ac:dyDescent="0.2">
      <c r="A564" s="304"/>
      <c r="B564" s="304"/>
      <c r="C564" s="304"/>
      <c r="D564" s="304"/>
      <c r="E564" s="304"/>
      <c r="F564" s="304"/>
      <c r="G564" s="304"/>
      <c r="H564" s="304"/>
      <c r="I564" s="304"/>
      <c r="J564" s="304"/>
      <c r="K564" s="304"/>
      <c r="L564" s="304"/>
      <c r="M564" s="304"/>
      <c r="N564" s="304"/>
      <c r="O564" s="304"/>
      <c r="P564" s="304"/>
      <c r="Q564" s="304"/>
      <c r="R564" s="304"/>
      <c r="S564" s="304"/>
      <c r="T564" s="304"/>
      <c r="U564" s="304"/>
      <c r="V564" s="304"/>
      <c r="W564" s="304"/>
      <c r="X564" s="304"/>
      <c r="Y564" s="304"/>
      <c r="Z564" s="304"/>
    </row>
    <row r="565" spans="1:26" x14ac:dyDescent="0.2">
      <c r="A565" s="304"/>
      <c r="B565" s="304"/>
      <c r="C565" s="304"/>
      <c r="D565" s="304"/>
      <c r="E565" s="304"/>
      <c r="F565" s="304"/>
      <c r="G565" s="304"/>
      <c r="H565" s="304"/>
      <c r="I565" s="304"/>
      <c r="J565" s="304"/>
      <c r="K565" s="304"/>
      <c r="L565" s="304"/>
      <c r="M565" s="304"/>
      <c r="N565" s="304"/>
      <c r="O565" s="304"/>
      <c r="P565" s="304"/>
      <c r="Q565" s="304"/>
      <c r="R565" s="304"/>
      <c r="S565" s="304"/>
      <c r="T565" s="304"/>
      <c r="U565" s="304"/>
      <c r="V565" s="304"/>
      <c r="W565" s="304"/>
      <c r="X565" s="304"/>
      <c r="Y565" s="304"/>
      <c r="Z565" s="304"/>
    </row>
    <row r="566" spans="1:26" x14ac:dyDescent="0.2">
      <c r="A566" s="304"/>
      <c r="B566" s="304"/>
      <c r="C566" s="304"/>
      <c r="D566" s="304"/>
      <c r="E566" s="304"/>
      <c r="F566" s="304"/>
      <c r="G566" s="304"/>
      <c r="H566" s="304"/>
      <c r="I566" s="304"/>
      <c r="J566" s="304"/>
      <c r="K566" s="304"/>
      <c r="L566" s="304"/>
      <c r="M566" s="304"/>
      <c r="N566" s="304"/>
      <c r="O566" s="304"/>
      <c r="P566" s="304"/>
      <c r="Q566" s="304"/>
      <c r="R566" s="304"/>
      <c r="S566" s="304"/>
      <c r="T566" s="304"/>
      <c r="U566" s="304"/>
      <c r="V566" s="304"/>
      <c r="W566" s="304"/>
      <c r="X566" s="304"/>
      <c r="Y566" s="304"/>
      <c r="Z566" s="304"/>
    </row>
    <row r="567" spans="1:26" x14ac:dyDescent="0.2">
      <c r="A567" s="304"/>
      <c r="B567" s="304"/>
      <c r="C567" s="304"/>
      <c r="D567" s="304"/>
      <c r="E567" s="304"/>
      <c r="F567" s="304"/>
      <c r="G567" s="304"/>
      <c r="H567" s="304"/>
      <c r="I567" s="304"/>
      <c r="J567" s="304"/>
      <c r="K567" s="304"/>
      <c r="L567" s="304"/>
      <c r="M567" s="304"/>
      <c r="N567" s="304"/>
      <c r="O567" s="304"/>
      <c r="P567" s="304"/>
      <c r="Q567" s="304"/>
      <c r="R567" s="304"/>
      <c r="S567" s="304"/>
      <c r="T567" s="304"/>
      <c r="U567" s="304"/>
      <c r="V567" s="304"/>
      <c r="W567" s="304"/>
      <c r="X567" s="304"/>
      <c r="Y567" s="304"/>
      <c r="Z567" s="304"/>
    </row>
    <row r="568" spans="1:26" x14ac:dyDescent="0.2">
      <c r="A568" s="304"/>
      <c r="B568" s="304"/>
      <c r="C568" s="304"/>
      <c r="D568" s="304"/>
      <c r="E568" s="304"/>
      <c r="F568" s="304"/>
      <c r="G568" s="304"/>
      <c r="H568" s="304"/>
      <c r="I568" s="304"/>
      <c r="J568" s="304"/>
      <c r="K568" s="304"/>
      <c r="L568" s="304"/>
      <c r="M568" s="304"/>
      <c r="N568" s="304"/>
      <c r="O568" s="304"/>
      <c r="P568" s="304"/>
      <c r="Q568" s="304"/>
      <c r="R568" s="304"/>
      <c r="S568" s="304"/>
      <c r="T568" s="304"/>
      <c r="U568" s="304"/>
      <c r="V568" s="304"/>
      <c r="W568" s="304"/>
      <c r="X568" s="304"/>
      <c r="Y568" s="304"/>
      <c r="Z568" s="304"/>
    </row>
    <row r="569" spans="1:26" x14ac:dyDescent="0.2">
      <c r="A569" s="304"/>
      <c r="B569" s="304"/>
      <c r="C569" s="304"/>
      <c r="D569" s="304"/>
      <c r="E569" s="304"/>
      <c r="F569" s="304"/>
      <c r="G569" s="304"/>
      <c r="H569" s="304"/>
      <c r="I569" s="304"/>
      <c r="J569" s="304"/>
      <c r="K569" s="304"/>
      <c r="L569" s="304"/>
      <c r="M569" s="304"/>
      <c r="N569" s="304"/>
      <c r="O569" s="304"/>
      <c r="P569" s="304"/>
      <c r="Q569" s="304"/>
      <c r="R569" s="304"/>
      <c r="S569" s="304"/>
      <c r="T569" s="304"/>
      <c r="U569" s="304"/>
      <c r="V569" s="304"/>
      <c r="W569" s="304"/>
      <c r="X569" s="304"/>
      <c r="Y569" s="304"/>
      <c r="Z569" s="304"/>
    </row>
    <row r="570" spans="1:26" x14ac:dyDescent="0.2">
      <c r="A570" s="304"/>
      <c r="B570" s="304"/>
      <c r="C570" s="304"/>
      <c r="D570" s="304"/>
      <c r="E570" s="304"/>
      <c r="F570" s="304"/>
      <c r="G570" s="304"/>
      <c r="H570" s="304"/>
      <c r="I570" s="304"/>
      <c r="J570" s="304"/>
      <c r="K570" s="304"/>
      <c r="L570" s="304"/>
      <c r="M570" s="304"/>
      <c r="N570" s="304"/>
      <c r="O570" s="304"/>
      <c r="P570" s="304"/>
      <c r="Q570" s="304"/>
      <c r="R570" s="304"/>
      <c r="S570" s="304"/>
      <c r="T570" s="304"/>
      <c r="U570" s="304"/>
      <c r="V570" s="304"/>
      <c r="W570" s="304"/>
      <c r="X570" s="304"/>
      <c r="Y570" s="304"/>
      <c r="Z570" s="304"/>
    </row>
    <row r="571" spans="1:26" x14ac:dyDescent="0.2">
      <c r="A571" s="304"/>
      <c r="B571" s="304"/>
      <c r="C571" s="304"/>
      <c r="D571" s="304"/>
      <c r="E571" s="304"/>
      <c r="F571" s="304"/>
      <c r="G571" s="304"/>
      <c r="H571" s="304"/>
      <c r="I571" s="304"/>
      <c r="J571" s="304"/>
      <c r="K571" s="304"/>
      <c r="L571" s="304"/>
      <c r="M571" s="304"/>
      <c r="N571" s="304"/>
      <c r="O571" s="304"/>
      <c r="P571" s="304"/>
      <c r="Q571" s="304"/>
      <c r="R571" s="304"/>
      <c r="S571" s="304"/>
      <c r="T571" s="304"/>
      <c r="U571" s="304"/>
      <c r="V571" s="304"/>
      <c r="W571" s="304"/>
      <c r="X571" s="304"/>
      <c r="Y571" s="304"/>
      <c r="Z571" s="304"/>
    </row>
    <row r="572" spans="1:26" x14ac:dyDescent="0.2">
      <c r="A572" s="304"/>
      <c r="B572" s="304"/>
      <c r="C572" s="304"/>
      <c r="D572" s="304"/>
      <c r="E572" s="304"/>
      <c r="F572" s="304"/>
      <c r="G572" s="304"/>
      <c r="H572" s="304"/>
      <c r="I572" s="304"/>
      <c r="J572" s="304"/>
      <c r="K572" s="304"/>
      <c r="L572" s="304"/>
      <c r="M572" s="304"/>
      <c r="N572" s="304"/>
      <c r="O572" s="304"/>
      <c r="P572" s="304"/>
      <c r="Q572" s="304"/>
      <c r="R572" s="304"/>
      <c r="S572" s="304"/>
      <c r="T572" s="304"/>
      <c r="U572" s="304"/>
      <c r="V572" s="304"/>
      <c r="W572" s="304"/>
      <c r="X572" s="304"/>
      <c r="Y572" s="304"/>
      <c r="Z572" s="304"/>
    </row>
    <row r="573" spans="1:26" x14ac:dyDescent="0.2">
      <c r="A573" s="304"/>
      <c r="B573" s="304"/>
      <c r="C573" s="304"/>
      <c r="D573" s="304"/>
      <c r="E573" s="304"/>
      <c r="F573" s="304"/>
      <c r="G573" s="304"/>
      <c r="H573" s="304"/>
      <c r="I573" s="304"/>
      <c r="J573" s="304"/>
      <c r="K573" s="304"/>
      <c r="L573" s="304"/>
      <c r="M573" s="304"/>
      <c r="N573" s="304"/>
      <c r="O573" s="304"/>
      <c r="P573" s="304"/>
      <c r="Q573" s="304"/>
      <c r="R573" s="304"/>
      <c r="S573" s="304"/>
      <c r="T573" s="304"/>
      <c r="U573" s="304"/>
      <c r="V573" s="304"/>
      <c r="W573" s="304"/>
      <c r="X573" s="304"/>
      <c r="Y573" s="304"/>
      <c r="Z573" s="304"/>
    </row>
    <row r="574" spans="1:26" x14ac:dyDescent="0.2">
      <c r="A574" s="304"/>
      <c r="B574" s="304"/>
      <c r="C574" s="304"/>
      <c r="D574" s="304"/>
      <c r="E574" s="304"/>
      <c r="F574" s="304"/>
      <c r="G574" s="304"/>
      <c r="H574" s="304"/>
      <c r="I574" s="304"/>
      <c r="J574" s="304"/>
      <c r="K574" s="304"/>
      <c r="L574" s="304"/>
      <c r="M574" s="304"/>
      <c r="N574" s="304"/>
      <c r="O574" s="304"/>
      <c r="P574" s="304"/>
      <c r="Q574" s="304"/>
      <c r="R574" s="304"/>
      <c r="S574" s="304"/>
      <c r="T574" s="304"/>
      <c r="U574" s="304"/>
      <c r="V574" s="304"/>
      <c r="W574" s="304"/>
      <c r="X574" s="304"/>
      <c r="Y574" s="304"/>
      <c r="Z574" s="304"/>
    </row>
    <row r="575" spans="1:26" x14ac:dyDescent="0.2">
      <c r="A575" s="304"/>
      <c r="B575" s="304"/>
      <c r="C575" s="304"/>
      <c r="D575" s="304"/>
      <c r="E575" s="304"/>
      <c r="F575" s="304"/>
      <c r="G575" s="304"/>
      <c r="H575" s="304"/>
      <c r="I575" s="304"/>
      <c r="J575" s="304"/>
      <c r="K575" s="304"/>
      <c r="L575" s="304"/>
      <c r="M575" s="304"/>
      <c r="N575" s="304"/>
      <c r="O575" s="304"/>
      <c r="P575" s="304"/>
      <c r="Q575" s="304"/>
      <c r="R575" s="304"/>
      <c r="S575" s="304"/>
      <c r="T575" s="304"/>
      <c r="U575" s="304"/>
      <c r="V575" s="304"/>
      <c r="W575" s="304"/>
      <c r="X575" s="304"/>
      <c r="Y575" s="304"/>
      <c r="Z575" s="304"/>
    </row>
    <row r="576" spans="1:26" x14ac:dyDescent="0.2">
      <c r="A576" s="304"/>
      <c r="B576" s="304"/>
      <c r="C576" s="304"/>
      <c r="D576" s="304"/>
      <c r="E576" s="304"/>
      <c r="F576" s="304"/>
      <c r="G576" s="304"/>
      <c r="H576" s="304"/>
      <c r="I576" s="304"/>
      <c r="J576" s="304"/>
      <c r="K576" s="304"/>
      <c r="L576" s="304"/>
      <c r="M576" s="304"/>
      <c r="N576" s="304"/>
      <c r="O576" s="304"/>
      <c r="P576" s="304"/>
      <c r="Q576" s="304"/>
      <c r="R576" s="304"/>
      <c r="S576" s="304"/>
      <c r="T576" s="304"/>
      <c r="U576" s="304"/>
      <c r="V576" s="304"/>
      <c r="W576" s="304"/>
      <c r="X576" s="304"/>
      <c r="Y576" s="304"/>
      <c r="Z576" s="304"/>
    </row>
    <row r="577" spans="1:26" x14ac:dyDescent="0.2">
      <c r="A577" s="304"/>
      <c r="B577" s="304"/>
      <c r="C577" s="304"/>
      <c r="D577" s="304"/>
      <c r="E577" s="304"/>
      <c r="F577" s="304"/>
      <c r="G577" s="304"/>
      <c r="H577" s="304"/>
      <c r="I577" s="304"/>
      <c r="J577" s="304"/>
      <c r="K577" s="304"/>
      <c r="L577" s="304"/>
      <c r="M577" s="304"/>
      <c r="N577" s="304"/>
      <c r="O577" s="304"/>
      <c r="P577" s="304"/>
      <c r="Q577" s="304"/>
      <c r="R577" s="304"/>
      <c r="S577" s="304"/>
      <c r="T577" s="304"/>
      <c r="U577" s="304"/>
      <c r="V577" s="304"/>
      <c r="W577" s="304"/>
      <c r="X577" s="304"/>
      <c r="Y577" s="304"/>
      <c r="Z577" s="304"/>
    </row>
    <row r="578" spans="1:26" x14ac:dyDescent="0.2">
      <c r="A578" s="304"/>
      <c r="B578" s="304"/>
      <c r="C578" s="304"/>
      <c r="D578" s="304"/>
      <c r="E578" s="304"/>
      <c r="F578" s="304"/>
      <c r="G578" s="304"/>
      <c r="H578" s="304"/>
      <c r="I578" s="304"/>
      <c r="J578" s="304"/>
      <c r="K578" s="304"/>
      <c r="L578" s="304"/>
      <c r="M578" s="304"/>
      <c r="N578" s="304"/>
      <c r="O578" s="304"/>
      <c r="P578" s="304"/>
      <c r="Q578" s="304"/>
      <c r="R578" s="304"/>
      <c r="S578" s="304"/>
      <c r="T578" s="304"/>
      <c r="U578" s="304"/>
      <c r="V578" s="304"/>
      <c r="W578" s="304"/>
      <c r="X578" s="304"/>
      <c r="Y578" s="304"/>
      <c r="Z578" s="304"/>
    </row>
    <row r="579" spans="1:26" x14ac:dyDescent="0.2">
      <c r="A579" s="304"/>
      <c r="B579" s="304"/>
      <c r="C579" s="304"/>
      <c r="D579" s="304"/>
      <c r="E579" s="304"/>
      <c r="F579" s="304"/>
      <c r="G579" s="304"/>
      <c r="H579" s="304"/>
      <c r="I579" s="304"/>
      <c r="J579" s="304"/>
      <c r="K579" s="304"/>
      <c r="L579" s="304"/>
      <c r="M579" s="304"/>
      <c r="N579" s="304"/>
      <c r="O579" s="304"/>
      <c r="P579" s="304"/>
      <c r="Q579" s="304"/>
      <c r="R579" s="304"/>
      <c r="S579" s="304"/>
      <c r="T579" s="304"/>
      <c r="U579" s="304"/>
      <c r="V579" s="304"/>
      <c r="W579" s="304"/>
      <c r="X579" s="304"/>
      <c r="Y579" s="304"/>
      <c r="Z579" s="304"/>
    </row>
    <row r="580" spans="1:26" x14ac:dyDescent="0.2">
      <c r="A580" s="304"/>
      <c r="B580" s="304"/>
      <c r="C580" s="304"/>
      <c r="D580" s="304"/>
      <c r="E580" s="304"/>
      <c r="F580" s="304"/>
      <c r="G580" s="304"/>
      <c r="H580" s="304"/>
      <c r="I580" s="304"/>
      <c r="J580" s="304"/>
      <c r="K580" s="304"/>
      <c r="L580" s="304"/>
      <c r="M580" s="304"/>
      <c r="N580" s="304"/>
      <c r="O580" s="304"/>
      <c r="P580" s="304"/>
      <c r="Q580" s="304"/>
      <c r="R580" s="304"/>
      <c r="S580" s="304"/>
      <c r="T580" s="304"/>
      <c r="U580" s="304"/>
      <c r="V580" s="304"/>
      <c r="W580" s="304"/>
      <c r="X580" s="304"/>
      <c r="Y580" s="304"/>
      <c r="Z580" s="304"/>
    </row>
    <row r="581" spans="1:26" x14ac:dyDescent="0.2">
      <c r="A581" s="304"/>
      <c r="B581" s="304"/>
      <c r="C581" s="304"/>
      <c r="D581" s="304"/>
      <c r="E581" s="304"/>
      <c r="F581" s="304"/>
      <c r="G581" s="304"/>
      <c r="H581" s="304"/>
      <c r="I581" s="304"/>
      <c r="J581" s="304"/>
      <c r="K581" s="304"/>
      <c r="L581" s="304"/>
      <c r="M581" s="304"/>
      <c r="N581" s="304"/>
      <c r="O581" s="304"/>
      <c r="P581" s="304"/>
      <c r="Q581" s="304"/>
      <c r="R581" s="304"/>
      <c r="S581" s="304"/>
      <c r="T581" s="304"/>
      <c r="U581" s="304"/>
      <c r="V581" s="304"/>
      <c r="W581" s="304"/>
      <c r="X581" s="304"/>
      <c r="Y581" s="304"/>
      <c r="Z581" s="304"/>
    </row>
    <row r="582" spans="1:26" x14ac:dyDescent="0.2">
      <c r="A582" s="304"/>
      <c r="B582" s="304"/>
      <c r="C582" s="304"/>
      <c r="D582" s="304"/>
      <c r="E582" s="304"/>
      <c r="F582" s="304"/>
      <c r="G582" s="304"/>
      <c r="H582" s="304"/>
      <c r="I582" s="304"/>
      <c r="J582" s="304"/>
      <c r="K582" s="304"/>
      <c r="L582" s="304"/>
      <c r="M582" s="304"/>
      <c r="N582" s="304"/>
      <c r="O582" s="304"/>
      <c r="P582" s="304"/>
      <c r="Q582" s="304"/>
      <c r="R582" s="304"/>
      <c r="S582" s="304"/>
      <c r="T582" s="304"/>
      <c r="U582" s="304"/>
      <c r="V582" s="304"/>
      <c r="W582" s="304"/>
      <c r="X582" s="304"/>
      <c r="Y582" s="304"/>
      <c r="Z582" s="304"/>
    </row>
    <row r="583" spans="1:26" x14ac:dyDescent="0.2">
      <c r="A583" s="304"/>
      <c r="B583" s="304"/>
      <c r="C583" s="304"/>
      <c r="D583" s="304"/>
      <c r="E583" s="304"/>
      <c r="F583" s="304"/>
      <c r="G583" s="304"/>
      <c r="H583" s="304"/>
      <c r="I583" s="304"/>
      <c r="J583" s="304"/>
      <c r="K583" s="304"/>
      <c r="L583" s="304"/>
      <c r="M583" s="304"/>
      <c r="N583" s="304"/>
      <c r="O583" s="304"/>
      <c r="P583" s="304"/>
      <c r="Q583" s="304"/>
      <c r="R583" s="304"/>
      <c r="S583" s="304"/>
      <c r="T583" s="304"/>
      <c r="U583" s="304"/>
      <c r="V583" s="304"/>
      <c r="W583" s="304"/>
      <c r="X583" s="304"/>
      <c r="Y583" s="304"/>
      <c r="Z583" s="304"/>
    </row>
    <row r="584" spans="1:26" x14ac:dyDescent="0.2">
      <c r="A584" s="304"/>
      <c r="B584" s="304"/>
      <c r="C584" s="304"/>
      <c r="D584" s="304"/>
      <c r="E584" s="304"/>
      <c r="F584" s="304"/>
      <c r="G584" s="304"/>
      <c r="H584" s="304"/>
      <c r="I584" s="304"/>
      <c r="J584" s="304"/>
      <c r="K584" s="304"/>
      <c r="L584" s="304"/>
      <c r="M584" s="304"/>
      <c r="N584" s="304"/>
      <c r="O584" s="304"/>
      <c r="P584" s="304"/>
      <c r="Q584" s="304"/>
      <c r="R584" s="304"/>
      <c r="S584" s="304"/>
      <c r="T584" s="304"/>
      <c r="U584" s="304"/>
      <c r="V584" s="304"/>
      <c r="W584" s="304"/>
      <c r="X584" s="304"/>
      <c r="Y584" s="304"/>
      <c r="Z584" s="304"/>
    </row>
    <row r="585" spans="1:26" x14ac:dyDescent="0.2">
      <c r="A585" s="304"/>
      <c r="B585" s="304"/>
      <c r="C585" s="304"/>
      <c r="D585" s="304"/>
      <c r="E585" s="304"/>
      <c r="F585" s="304"/>
      <c r="G585" s="304"/>
      <c r="H585" s="304"/>
      <c r="I585" s="304"/>
      <c r="J585" s="304"/>
      <c r="K585" s="304"/>
      <c r="L585" s="304"/>
      <c r="M585" s="304"/>
      <c r="N585" s="304"/>
      <c r="O585" s="304"/>
      <c r="P585" s="304"/>
      <c r="Q585" s="304"/>
      <c r="R585" s="304"/>
      <c r="S585" s="304"/>
      <c r="T585" s="304"/>
      <c r="U585" s="304"/>
      <c r="V585" s="304"/>
      <c r="W585" s="304"/>
      <c r="X585" s="304"/>
      <c r="Y585" s="304"/>
      <c r="Z585" s="304"/>
    </row>
    <row r="586" spans="1:26" x14ac:dyDescent="0.2">
      <c r="A586" s="304"/>
      <c r="B586" s="304"/>
      <c r="C586" s="304"/>
      <c r="D586" s="304"/>
      <c r="E586" s="304"/>
      <c r="F586" s="304"/>
      <c r="G586" s="304"/>
      <c r="H586" s="304"/>
      <c r="I586" s="304"/>
      <c r="J586" s="304"/>
      <c r="K586" s="304"/>
      <c r="L586" s="304"/>
      <c r="M586" s="304"/>
      <c r="N586" s="304"/>
      <c r="O586" s="304"/>
      <c r="P586" s="304"/>
      <c r="Q586" s="304"/>
      <c r="R586" s="304"/>
      <c r="S586" s="304"/>
      <c r="T586" s="304"/>
      <c r="U586" s="304"/>
      <c r="V586" s="304"/>
      <c r="W586" s="304"/>
      <c r="X586" s="304"/>
      <c r="Y586" s="304"/>
      <c r="Z586" s="304"/>
    </row>
    <row r="587" spans="1:26" x14ac:dyDescent="0.2">
      <c r="A587" s="304"/>
      <c r="B587" s="304"/>
      <c r="C587" s="304"/>
      <c r="D587" s="304"/>
      <c r="E587" s="304"/>
      <c r="F587" s="304"/>
      <c r="G587" s="304"/>
      <c r="H587" s="304"/>
      <c r="I587" s="304"/>
      <c r="J587" s="304"/>
      <c r="K587" s="304"/>
      <c r="L587" s="304"/>
      <c r="M587" s="304"/>
      <c r="N587" s="304"/>
      <c r="O587" s="304"/>
      <c r="P587" s="304"/>
      <c r="Q587" s="304"/>
      <c r="R587" s="304"/>
      <c r="S587" s="304"/>
      <c r="T587" s="304"/>
      <c r="U587" s="304"/>
      <c r="V587" s="304"/>
      <c r="W587" s="304"/>
      <c r="X587" s="304"/>
      <c r="Y587" s="304"/>
      <c r="Z587" s="304"/>
    </row>
    <row r="588" spans="1:26" x14ac:dyDescent="0.2">
      <c r="A588" s="304"/>
      <c r="B588" s="304"/>
      <c r="C588" s="304"/>
      <c r="D588" s="304"/>
      <c r="E588" s="304"/>
      <c r="F588" s="304"/>
      <c r="G588" s="304"/>
      <c r="H588" s="304"/>
      <c r="I588" s="304"/>
      <c r="J588" s="304"/>
      <c r="K588" s="304"/>
      <c r="L588" s="304"/>
      <c r="M588" s="304"/>
      <c r="N588" s="304"/>
      <c r="O588" s="304"/>
      <c r="P588" s="304"/>
      <c r="Q588" s="304"/>
      <c r="R588" s="304"/>
      <c r="S588" s="304"/>
      <c r="T588" s="304"/>
      <c r="U588" s="304"/>
      <c r="V588" s="304"/>
      <c r="W588" s="304"/>
      <c r="X588" s="304"/>
      <c r="Y588" s="304"/>
      <c r="Z588" s="304"/>
    </row>
    <row r="589" spans="1:26" x14ac:dyDescent="0.2">
      <c r="A589" s="304"/>
      <c r="B589" s="304"/>
      <c r="C589" s="304"/>
      <c r="D589" s="304"/>
      <c r="E589" s="304"/>
      <c r="F589" s="304"/>
      <c r="G589" s="304"/>
      <c r="H589" s="304"/>
      <c r="I589" s="304"/>
      <c r="J589" s="304"/>
      <c r="K589" s="304"/>
      <c r="L589" s="304"/>
      <c r="M589" s="304"/>
      <c r="N589" s="304"/>
      <c r="O589" s="304"/>
      <c r="P589" s="304"/>
      <c r="Q589" s="304"/>
      <c r="R589" s="304"/>
      <c r="S589" s="304"/>
      <c r="T589" s="304"/>
      <c r="U589" s="304"/>
      <c r="V589" s="304"/>
      <c r="W589" s="304"/>
      <c r="X589" s="304"/>
      <c r="Y589" s="304"/>
      <c r="Z589" s="304"/>
    </row>
    <row r="590" spans="1:26" x14ac:dyDescent="0.2">
      <c r="A590" s="304"/>
      <c r="B590" s="304"/>
      <c r="C590" s="304"/>
      <c r="D590" s="304"/>
      <c r="E590" s="304"/>
      <c r="F590" s="304"/>
      <c r="G590" s="304"/>
      <c r="H590" s="304"/>
      <c r="I590" s="304"/>
      <c r="J590" s="304"/>
      <c r="K590" s="304"/>
      <c r="L590" s="304"/>
      <c r="M590" s="304"/>
      <c r="N590" s="304"/>
      <c r="O590" s="304"/>
      <c r="P590" s="304"/>
      <c r="Q590" s="304"/>
      <c r="R590" s="304"/>
      <c r="S590" s="304"/>
      <c r="T590" s="304"/>
      <c r="U590" s="304"/>
      <c r="V590" s="304"/>
      <c r="W590" s="304"/>
      <c r="X590" s="304"/>
      <c r="Y590" s="304"/>
      <c r="Z590" s="304"/>
    </row>
    <row r="591" spans="1:26" x14ac:dyDescent="0.2">
      <c r="A591" s="304"/>
      <c r="B591" s="304"/>
      <c r="C591" s="304"/>
      <c r="D591" s="304"/>
      <c r="E591" s="304"/>
      <c r="F591" s="304"/>
      <c r="G591" s="304"/>
      <c r="H591" s="304"/>
      <c r="I591" s="304"/>
      <c r="J591" s="304"/>
      <c r="K591" s="304"/>
      <c r="L591" s="304"/>
      <c r="M591" s="304"/>
      <c r="N591" s="304"/>
      <c r="O591" s="304"/>
      <c r="P591" s="304"/>
      <c r="Q591" s="304"/>
      <c r="R591" s="304"/>
      <c r="S591" s="304"/>
      <c r="T591" s="304"/>
      <c r="U591" s="304"/>
      <c r="V591" s="304"/>
      <c r="W591" s="304"/>
      <c r="X591" s="304"/>
      <c r="Y591" s="304"/>
      <c r="Z591" s="304"/>
    </row>
    <row r="592" spans="1:26" x14ac:dyDescent="0.2">
      <c r="A592" s="304"/>
      <c r="B592" s="304"/>
      <c r="C592" s="304"/>
      <c r="D592" s="304"/>
      <c r="E592" s="304"/>
      <c r="F592" s="304"/>
      <c r="G592" s="304"/>
      <c r="H592" s="304"/>
      <c r="I592" s="304"/>
      <c r="J592" s="304"/>
      <c r="K592" s="304"/>
      <c r="L592" s="304"/>
      <c r="M592" s="304"/>
      <c r="N592" s="304"/>
      <c r="O592" s="304"/>
      <c r="P592" s="304"/>
      <c r="Q592" s="304"/>
      <c r="R592" s="304"/>
      <c r="S592" s="304"/>
      <c r="T592" s="304"/>
      <c r="U592" s="304"/>
      <c r="V592" s="304"/>
      <c r="W592" s="304"/>
      <c r="X592" s="304"/>
      <c r="Y592" s="304"/>
      <c r="Z592" s="304"/>
    </row>
    <row r="593" spans="1:26" x14ac:dyDescent="0.2">
      <c r="A593" s="304"/>
      <c r="B593" s="304"/>
      <c r="C593" s="304"/>
      <c r="D593" s="304"/>
      <c r="E593" s="304"/>
      <c r="F593" s="304"/>
      <c r="G593" s="304"/>
      <c r="H593" s="304"/>
      <c r="I593" s="304"/>
      <c r="J593" s="304"/>
      <c r="K593" s="304"/>
      <c r="L593" s="304"/>
      <c r="M593" s="304"/>
      <c r="N593" s="304"/>
      <c r="O593" s="304"/>
      <c r="P593" s="304"/>
      <c r="Q593" s="304"/>
      <c r="R593" s="304"/>
      <c r="S593" s="304"/>
      <c r="T593" s="304"/>
      <c r="U593" s="304"/>
      <c r="V593" s="304"/>
      <c r="W593" s="304"/>
      <c r="X593" s="304"/>
      <c r="Y593" s="304"/>
      <c r="Z593" s="304"/>
    </row>
    <row r="594" spans="1:26" x14ac:dyDescent="0.2">
      <c r="A594" s="304"/>
      <c r="B594" s="304"/>
      <c r="C594" s="304"/>
      <c r="D594" s="304"/>
      <c r="E594" s="304"/>
      <c r="F594" s="304"/>
      <c r="G594" s="304"/>
      <c r="H594" s="304"/>
      <c r="I594" s="304"/>
      <c r="J594" s="304"/>
      <c r="K594" s="304"/>
      <c r="L594" s="304"/>
      <c r="M594" s="304"/>
      <c r="N594" s="304"/>
      <c r="O594" s="304"/>
      <c r="P594" s="304"/>
      <c r="Q594" s="304"/>
      <c r="R594" s="304"/>
      <c r="S594" s="304"/>
      <c r="T594" s="304"/>
      <c r="U594" s="304"/>
      <c r="V594" s="304"/>
      <c r="W594" s="304"/>
      <c r="X594" s="304"/>
      <c r="Y594" s="304"/>
      <c r="Z594" s="304"/>
    </row>
    <row r="595" spans="1:26" x14ac:dyDescent="0.2">
      <c r="A595" s="304"/>
      <c r="B595" s="304"/>
      <c r="C595" s="304"/>
      <c r="D595" s="304"/>
      <c r="E595" s="304"/>
      <c r="F595" s="304"/>
      <c r="G595" s="304"/>
      <c r="H595" s="304"/>
      <c r="I595" s="304"/>
      <c r="J595" s="304"/>
      <c r="K595" s="304"/>
      <c r="L595" s="304"/>
      <c r="M595" s="304"/>
      <c r="N595" s="304"/>
      <c r="O595" s="304"/>
      <c r="P595" s="304"/>
      <c r="Q595" s="304"/>
      <c r="R595" s="304"/>
      <c r="S595" s="304"/>
      <c r="T595" s="304"/>
      <c r="U595" s="304"/>
      <c r="V595" s="304"/>
      <c r="W595" s="304"/>
      <c r="X595" s="304"/>
      <c r="Y595" s="304"/>
      <c r="Z595" s="304"/>
    </row>
    <row r="596" spans="1:26" x14ac:dyDescent="0.2">
      <c r="A596" s="304"/>
      <c r="B596" s="304"/>
      <c r="C596" s="304"/>
      <c r="D596" s="304"/>
      <c r="E596" s="304"/>
      <c r="F596" s="304"/>
      <c r="G596" s="304"/>
      <c r="H596" s="304"/>
      <c r="I596" s="304"/>
      <c r="J596" s="304"/>
      <c r="K596" s="304"/>
      <c r="L596" s="304"/>
      <c r="M596" s="304"/>
      <c r="N596" s="304"/>
      <c r="O596" s="304"/>
      <c r="P596" s="304"/>
      <c r="Q596" s="304"/>
      <c r="R596" s="304"/>
      <c r="S596" s="304"/>
      <c r="T596" s="304"/>
      <c r="U596" s="304"/>
      <c r="V596" s="304"/>
      <c r="W596" s="304"/>
      <c r="X596" s="304"/>
      <c r="Y596" s="304"/>
      <c r="Z596" s="304"/>
    </row>
    <row r="597" spans="1:26" x14ac:dyDescent="0.2">
      <c r="A597" s="304"/>
      <c r="B597" s="304"/>
      <c r="C597" s="304"/>
      <c r="D597" s="304"/>
      <c r="E597" s="304"/>
      <c r="F597" s="304"/>
      <c r="G597" s="304"/>
      <c r="H597" s="304"/>
      <c r="I597" s="304"/>
      <c r="J597" s="304"/>
      <c r="K597" s="304"/>
      <c r="L597" s="304"/>
      <c r="M597" s="304"/>
      <c r="N597" s="304"/>
      <c r="O597" s="304"/>
      <c r="P597" s="304"/>
      <c r="Q597" s="304"/>
      <c r="R597" s="304"/>
      <c r="S597" s="304"/>
      <c r="T597" s="304"/>
      <c r="U597" s="304"/>
      <c r="V597" s="304"/>
      <c r="W597" s="304"/>
      <c r="X597" s="304"/>
      <c r="Y597" s="304"/>
      <c r="Z597" s="304"/>
    </row>
    <row r="598" spans="1:26" x14ac:dyDescent="0.2">
      <c r="A598" s="304"/>
      <c r="B598" s="304"/>
      <c r="C598" s="304"/>
      <c r="D598" s="304"/>
      <c r="E598" s="304"/>
      <c r="F598" s="304"/>
      <c r="G598" s="304"/>
      <c r="H598" s="304"/>
      <c r="I598" s="304"/>
      <c r="J598" s="304"/>
      <c r="K598" s="304"/>
      <c r="L598" s="304"/>
      <c r="M598" s="304"/>
      <c r="N598" s="304"/>
      <c r="O598" s="304"/>
      <c r="P598" s="304"/>
      <c r="Q598" s="304"/>
      <c r="R598" s="304"/>
      <c r="S598" s="304"/>
      <c r="T598" s="304"/>
      <c r="U598" s="304"/>
      <c r="V598" s="304"/>
      <c r="W598" s="304"/>
      <c r="X598" s="304"/>
      <c r="Y598" s="304"/>
      <c r="Z598" s="304"/>
    </row>
    <row r="599" spans="1:26" x14ac:dyDescent="0.2">
      <c r="A599" s="304"/>
      <c r="B599" s="304"/>
      <c r="C599" s="304"/>
      <c r="D599" s="304"/>
      <c r="E599" s="304"/>
      <c r="F599" s="304"/>
      <c r="G599" s="304"/>
      <c r="H599" s="304"/>
      <c r="I599" s="304"/>
      <c r="J599" s="304"/>
      <c r="K599" s="304"/>
      <c r="L599" s="304"/>
      <c r="M599" s="304"/>
      <c r="N599" s="304"/>
      <c r="O599" s="304"/>
      <c r="P599" s="304"/>
      <c r="Q599" s="304"/>
      <c r="R599" s="304"/>
      <c r="S599" s="304"/>
      <c r="T599" s="304"/>
      <c r="U599" s="304"/>
      <c r="V599" s="304"/>
      <c r="W599" s="304"/>
      <c r="X599" s="304"/>
      <c r="Y599" s="304"/>
      <c r="Z599" s="304"/>
    </row>
    <row r="600" spans="1:26" x14ac:dyDescent="0.2">
      <c r="A600" s="304"/>
      <c r="B600" s="304"/>
      <c r="C600" s="304"/>
      <c r="D600" s="304"/>
      <c r="E600" s="304"/>
      <c r="F600" s="304"/>
      <c r="G600" s="304"/>
      <c r="H600" s="304"/>
      <c r="I600" s="304"/>
      <c r="J600" s="304"/>
      <c r="K600" s="304"/>
      <c r="L600" s="304"/>
      <c r="M600" s="304"/>
      <c r="N600" s="304"/>
      <c r="O600" s="304"/>
      <c r="P600" s="304"/>
      <c r="Q600" s="304"/>
      <c r="R600" s="304"/>
      <c r="S600" s="304"/>
      <c r="T600" s="304"/>
      <c r="U600" s="304"/>
      <c r="V600" s="304"/>
      <c r="W600" s="304"/>
      <c r="X600" s="304"/>
      <c r="Y600" s="304"/>
      <c r="Z600" s="304"/>
    </row>
    <row r="601" spans="1:26" x14ac:dyDescent="0.2">
      <c r="A601" s="304"/>
      <c r="B601" s="304"/>
      <c r="C601" s="304"/>
      <c r="D601" s="304"/>
      <c r="E601" s="304"/>
      <c r="F601" s="304"/>
      <c r="G601" s="304"/>
      <c r="H601" s="304"/>
      <c r="I601" s="304"/>
      <c r="J601" s="304"/>
      <c r="K601" s="304"/>
      <c r="L601" s="304"/>
      <c r="M601" s="304"/>
      <c r="N601" s="304"/>
      <c r="O601" s="304"/>
      <c r="P601" s="304"/>
      <c r="Q601" s="304"/>
      <c r="R601" s="304"/>
      <c r="S601" s="304"/>
      <c r="T601" s="304"/>
      <c r="U601" s="304"/>
      <c r="V601" s="304"/>
      <c r="W601" s="304"/>
      <c r="X601" s="304"/>
      <c r="Y601" s="304"/>
      <c r="Z601" s="304"/>
    </row>
    <row r="602" spans="1:26" x14ac:dyDescent="0.2">
      <c r="A602" s="304"/>
      <c r="B602" s="304"/>
      <c r="C602" s="304"/>
      <c r="D602" s="304"/>
      <c r="E602" s="304"/>
      <c r="F602" s="304"/>
      <c r="G602" s="304"/>
      <c r="H602" s="304"/>
      <c r="I602" s="304"/>
      <c r="J602" s="304"/>
      <c r="K602" s="304"/>
      <c r="L602" s="304"/>
      <c r="M602" s="304"/>
      <c r="N602" s="304"/>
      <c r="O602" s="304"/>
      <c r="P602" s="304"/>
      <c r="Q602" s="304"/>
      <c r="R602" s="304"/>
      <c r="S602" s="304"/>
      <c r="T602" s="304"/>
      <c r="U602" s="304"/>
      <c r="V602" s="304"/>
      <c r="W602" s="304"/>
      <c r="X602" s="304"/>
      <c r="Y602" s="304"/>
      <c r="Z602" s="304"/>
    </row>
    <row r="603" spans="1:26" x14ac:dyDescent="0.2">
      <c r="A603" s="304"/>
      <c r="B603" s="304"/>
      <c r="C603" s="304"/>
      <c r="D603" s="304"/>
      <c r="E603" s="304"/>
      <c r="F603" s="304"/>
      <c r="G603" s="304"/>
      <c r="H603" s="304"/>
      <c r="I603" s="304"/>
      <c r="J603" s="304"/>
      <c r="K603" s="304"/>
      <c r="L603" s="304"/>
      <c r="M603" s="304"/>
      <c r="N603" s="304"/>
      <c r="O603" s="304"/>
      <c r="P603" s="304"/>
      <c r="Q603" s="304"/>
      <c r="R603" s="304"/>
      <c r="S603" s="304"/>
      <c r="T603" s="304"/>
      <c r="U603" s="304"/>
      <c r="V603" s="304"/>
      <c r="W603" s="304"/>
      <c r="X603" s="304"/>
      <c r="Y603" s="304"/>
      <c r="Z603" s="304"/>
    </row>
    <row r="604" spans="1:26" x14ac:dyDescent="0.2">
      <c r="A604" s="304"/>
      <c r="B604" s="304"/>
      <c r="C604" s="304"/>
      <c r="D604" s="304"/>
      <c r="E604" s="304"/>
      <c r="F604" s="304"/>
      <c r="G604" s="304"/>
      <c r="H604" s="304"/>
      <c r="I604" s="304"/>
      <c r="J604" s="304"/>
      <c r="K604" s="304"/>
      <c r="L604" s="304"/>
      <c r="M604" s="304"/>
      <c r="N604" s="304"/>
      <c r="O604" s="304"/>
      <c r="P604" s="304"/>
      <c r="Q604" s="304"/>
      <c r="R604" s="304"/>
      <c r="S604" s="304"/>
      <c r="T604" s="304"/>
      <c r="U604" s="304"/>
      <c r="V604" s="304"/>
      <c r="W604" s="304"/>
      <c r="X604" s="304"/>
      <c r="Y604" s="304"/>
      <c r="Z604" s="304"/>
    </row>
    <row r="605" spans="1:26" x14ac:dyDescent="0.2">
      <c r="A605" s="304"/>
      <c r="B605" s="304"/>
      <c r="C605" s="304"/>
      <c r="D605" s="304"/>
      <c r="E605" s="304"/>
      <c r="F605" s="304"/>
      <c r="G605" s="304"/>
      <c r="H605" s="304"/>
      <c r="I605" s="304"/>
      <c r="J605" s="304"/>
      <c r="K605" s="304"/>
      <c r="L605" s="304"/>
      <c r="M605" s="304"/>
      <c r="N605" s="304"/>
      <c r="O605" s="304"/>
      <c r="P605" s="304"/>
      <c r="Q605" s="304"/>
      <c r="R605" s="304"/>
      <c r="S605" s="304"/>
      <c r="T605" s="304"/>
      <c r="U605" s="304"/>
      <c r="V605" s="304"/>
      <c r="W605" s="304"/>
      <c r="X605" s="304"/>
      <c r="Y605" s="304"/>
      <c r="Z605" s="304"/>
    </row>
    <row r="606" spans="1:26" x14ac:dyDescent="0.2">
      <c r="A606" s="304"/>
      <c r="B606" s="304"/>
      <c r="C606" s="304"/>
      <c r="D606" s="304"/>
      <c r="E606" s="304"/>
      <c r="F606" s="304"/>
      <c r="G606" s="304"/>
      <c r="H606" s="304"/>
      <c r="I606" s="304"/>
      <c r="J606" s="304"/>
      <c r="K606" s="304"/>
      <c r="L606" s="304"/>
      <c r="M606" s="304"/>
      <c r="N606" s="304"/>
      <c r="O606" s="304"/>
      <c r="P606" s="304"/>
      <c r="Q606" s="304"/>
      <c r="R606" s="304"/>
      <c r="S606" s="304"/>
      <c r="T606" s="304"/>
      <c r="U606" s="304"/>
      <c r="V606" s="304"/>
      <c r="W606" s="304"/>
      <c r="X606" s="304"/>
      <c r="Y606" s="304"/>
      <c r="Z606" s="304"/>
    </row>
    <row r="607" spans="1:26" x14ac:dyDescent="0.2">
      <c r="A607" s="304"/>
      <c r="B607" s="304"/>
      <c r="C607" s="304"/>
      <c r="D607" s="304"/>
      <c r="E607" s="304"/>
      <c r="F607" s="304"/>
      <c r="G607" s="304"/>
      <c r="H607" s="304"/>
      <c r="I607" s="304"/>
      <c r="J607" s="304"/>
      <c r="K607" s="304"/>
      <c r="L607" s="304"/>
      <c r="M607" s="304"/>
      <c r="N607" s="304"/>
      <c r="O607" s="304"/>
      <c r="P607" s="304"/>
      <c r="Q607" s="304"/>
      <c r="R607" s="304"/>
      <c r="S607" s="304"/>
      <c r="T607" s="304"/>
      <c r="U607" s="304"/>
      <c r="V607" s="304"/>
      <c r="W607" s="304"/>
      <c r="X607" s="304"/>
      <c r="Y607" s="304"/>
      <c r="Z607" s="304"/>
    </row>
    <row r="608" spans="1:26" x14ac:dyDescent="0.2">
      <c r="A608" s="304"/>
      <c r="B608" s="304"/>
      <c r="C608" s="304"/>
      <c r="D608" s="304"/>
      <c r="E608" s="304"/>
      <c r="F608" s="304"/>
      <c r="G608" s="304"/>
      <c r="H608" s="304"/>
      <c r="I608" s="304"/>
      <c r="J608" s="304"/>
      <c r="K608" s="304"/>
      <c r="L608" s="304"/>
      <c r="M608" s="304"/>
      <c r="N608" s="304"/>
      <c r="O608" s="304"/>
      <c r="P608" s="304"/>
      <c r="Q608" s="304"/>
      <c r="R608" s="304"/>
      <c r="S608" s="304"/>
      <c r="T608" s="304"/>
      <c r="U608" s="304"/>
      <c r="V608" s="304"/>
      <c r="W608" s="304"/>
      <c r="X608" s="304"/>
      <c r="Y608" s="304"/>
      <c r="Z608" s="304"/>
    </row>
    <row r="609" spans="1:26" x14ac:dyDescent="0.2">
      <c r="A609" s="304"/>
      <c r="B609" s="304"/>
      <c r="C609" s="304"/>
      <c r="D609" s="304"/>
      <c r="E609" s="304"/>
      <c r="F609" s="304"/>
      <c r="G609" s="304"/>
      <c r="H609" s="304"/>
      <c r="I609" s="304"/>
      <c r="J609" s="304"/>
      <c r="K609" s="304"/>
      <c r="L609" s="304"/>
      <c r="M609" s="304"/>
      <c r="N609" s="304"/>
      <c r="O609" s="304"/>
      <c r="P609" s="304"/>
      <c r="Q609" s="304"/>
      <c r="R609" s="304"/>
      <c r="S609" s="304"/>
      <c r="T609" s="304"/>
      <c r="U609" s="304"/>
      <c r="V609" s="304"/>
      <c r="W609" s="304"/>
      <c r="X609" s="304"/>
      <c r="Y609" s="304"/>
      <c r="Z609" s="304"/>
    </row>
    <row r="610" spans="1:26" x14ac:dyDescent="0.2">
      <c r="A610" s="304"/>
      <c r="B610" s="304"/>
      <c r="C610" s="304"/>
      <c r="D610" s="304"/>
      <c r="E610" s="304"/>
      <c r="F610" s="304"/>
      <c r="G610" s="304"/>
      <c r="H610" s="304"/>
      <c r="I610" s="304"/>
      <c r="J610" s="304"/>
      <c r="K610" s="304"/>
      <c r="L610" s="304"/>
      <c r="M610" s="304"/>
      <c r="N610" s="304"/>
      <c r="O610" s="304"/>
      <c r="P610" s="304"/>
      <c r="Q610" s="304"/>
      <c r="R610" s="304"/>
      <c r="S610" s="304"/>
      <c r="T610" s="304"/>
      <c r="U610" s="304"/>
      <c r="V610" s="304"/>
      <c r="W610" s="304"/>
      <c r="X610" s="304"/>
      <c r="Y610" s="304"/>
      <c r="Z610" s="304"/>
    </row>
    <row r="611" spans="1:26" x14ac:dyDescent="0.2">
      <c r="A611" s="304"/>
      <c r="B611" s="304"/>
      <c r="C611" s="304"/>
      <c r="D611" s="304"/>
      <c r="E611" s="304"/>
      <c r="F611" s="304"/>
      <c r="G611" s="304"/>
      <c r="H611" s="304"/>
      <c r="I611" s="304"/>
      <c r="J611" s="304"/>
      <c r="K611" s="304"/>
      <c r="L611" s="304"/>
      <c r="M611" s="304"/>
      <c r="N611" s="304"/>
      <c r="O611" s="304"/>
      <c r="P611" s="304"/>
      <c r="Q611" s="304"/>
      <c r="R611" s="304"/>
      <c r="S611" s="304"/>
      <c r="T611" s="304"/>
      <c r="U611" s="304"/>
      <c r="V611" s="304"/>
      <c r="W611" s="304"/>
      <c r="X611" s="304"/>
      <c r="Y611" s="304"/>
      <c r="Z611" s="304"/>
    </row>
    <row r="612" spans="1:26" x14ac:dyDescent="0.2">
      <c r="A612" s="304"/>
      <c r="B612" s="304"/>
      <c r="C612" s="304"/>
      <c r="D612" s="304"/>
      <c r="E612" s="304"/>
      <c r="F612" s="304"/>
      <c r="G612" s="304"/>
      <c r="H612" s="304"/>
      <c r="I612" s="304"/>
      <c r="J612" s="304"/>
      <c r="K612" s="304"/>
      <c r="L612" s="304"/>
      <c r="M612" s="304"/>
      <c r="N612" s="304"/>
      <c r="O612" s="304"/>
      <c r="P612" s="304"/>
      <c r="Q612" s="304"/>
      <c r="R612" s="304"/>
      <c r="S612" s="304"/>
      <c r="T612" s="304"/>
      <c r="U612" s="304"/>
      <c r="V612" s="304"/>
      <c r="W612" s="304"/>
      <c r="X612" s="304"/>
      <c r="Y612" s="304"/>
      <c r="Z612" s="304"/>
    </row>
    <row r="613" spans="1:26" x14ac:dyDescent="0.2">
      <c r="A613" s="304"/>
      <c r="B613" s="304"/>
      <c r="C613" s="304"/>
      <c r="D613" s="304"/>
      <c r="E613" s="304"/>
      <c r="F613" s="304"/>
      <c r="G613" s="304"/>
      <c r="H613" s="304"/>
      <c r="I613" s="304"/>
      <c r="J613" s="304"/>
      <c r="K613" s="304"/>
      <c r="L613" s="304"/>
      <c r="M613" s="304"/>
      <c r="N613" s="304"/>
      <c r="O613" s="304"/>
      <c r="P613" s="304"/>
      <c r="Q613" s="304"/>
      <c r="R613" s="304"/>
      <c r="S613" s="304"/>
      <c r="T613" s="304"/>
      <c r="U613" s="304"/>
      <c r="V613" s="304"/>
      <c r="W613" s="304"/>
      <c r="X613" s="304"/>
      <c r="Y613" s="304"/>
      <c r="Z613" s="304"/>
    </row>
    <row r="614" spans="1:26" x14ac:dyDescent="0.2">
      <c r="A614" s="304"/>
      <c r="B614" s="304"/>
      <c r="C614" s="304"/>
      <c r="D614" s="304"/>
      <c r="E614" s="304"/>
      <c r="F614" s="304"/>
      <c r="G614" s="304"/>
      <c r="H614" s="304"/>
      <c r="I614" s="304"/>
      <c r="J614" s="304"/>
      <c r="K614" s="304"/>
      <c r="L614" s="304"/>
      <c r="M614" s="304"/>
      <c r="N614" s="304"/>
      <c r="O614" s="304"/>
      <c r="P614" s="304"/>
      <c r="Q614" s="304"/>
      <c r="R614" s="304"/>
      <c r="S614" s="304"/>
      <c r="T614" s="304"/>
      <c r="U614" s="304"/>
      <c r="V614" s="304"/>
      <c r="W614" s="304"/>
      <c r="X614" s="304"/>
      <c r="Y614" s="304"/>
      <c r="Z614" s="304"/>
    </row>
    <row r="615" spans="1:26" x14ac:dyDescent="0.2">
      <c r="A615" s="304"/>
      <c r="B615" s="304"/>
      <c r="C615" s="304"/>
      <c r="D615" s="304"/>
      <c r="E615" s="304"/>
      <c r="F615" s="304"/>
      <c r="G615" s="304"/>
      <c r="H615" s="304"/>
      <c r="I615" s="304"/>
      <c r="J615" s="304"/>
      <c r="K615" s="304"/>
      <c r="L615" s="304"/>
      <c r="M615" s="304"/>
      <c r="N615" s="304"/>
      <c r="O615" s="304"/>
      <c r="P615" s="304"/>
      <c r="Q615" s="304"/>
      <c r="R615" s="304"/>
      <c r="S615" s="304"/>
      <c r="T615" s="304"/>
      <c r="U615" s="304"/>
      <c r="V615" s="304"/>
      <c r="W615" s="304"/>
      <c r="X615" s="304"/>
      <c r="Y615" s="304"/>
      <c r="Z615" s="304"/>
    </row>
    <row r="616" spans="1:26" x14ac:dyDescent="0.2">
      <c r="A616" s="304"/>
      <c r="B616" s="304"/>
      <c r="C616" s="304"/>
      <c r="D616" s="304"/>
      <c r="E616" s="304"/>
      <c r="F616" s="304"/>
      <c r="G616" s="304"/>
      <c r="H616" s="304"/>
      <c r="I616" s="304"/>
      <c r="J616" s="304"/>
      <c r="K616" s="304"/>
      <c r="L616" s="304"/>
      <c r="M616" s="304"/>
      <c r="N616" s="304"/>
      <c r="O616" s="304"/>
      <c r="P616" s="304"/>
      <c r="Q616" s="304"/>
      <c r="R616" s="304"/>
      <c r="S616" s="304"/>
      <c r="T616" s="304"/>
      <c r="U616" s="304"/>
      <c r="V616" s="304"/>
      <c r="W616" s="304"/>
      <c r="X616" s="304"/>
      <c r="Y616" s="304"/>
      <c r="Z616" s="304"/>
    </row>
    <row r="617" spans="1:26" x14ac:dyDescent="0.2">
      <c r="A617" s="304"/>
      <c r="B617" s="304"/>
      <c r="C617" s="304"/>
      <c r="D617" s="304"/>
      <c r="E617" s="304"/>
      <c r="F617" s="304"/>
      <c r="G617" s="304"/>
      <c r="H617" s="304"/>
      <c r="I617" s="304"/>
      <c r="J617" s="304"/>
      <c r="K617" s="304"/>
      <c r="L617" s="304"/>
      <c r="M617" s="304"/>
      <c r="N617" s="304"/>
      <c r="O617" s="304"/>
      <c r="P617" s="304"/>
      <c r="Q617" s="304"/>
      <c r="R617" s="304"/>
      <c r="S617" s="304"/>
      <c r="T617" s="304"/>
      <c r="U617" s="304"/>
      <c r="V617" s="304"/>
      <c r="W617" s="304"/>
      <c r="X617" s="304"/>
      <c r="Y617" s="304"/>
      <c r="Z617" s="304"/>
    </row>
    <row r="618" spans="1:26" x14ac:dyDescent="0.2">
      <c r="A618" s="304"/>
      <c r="B618" s="304"/>
      <c r="C618" s="304"/>
      <c r="D618" s="304"/>
      <c r="E618" s="304"/>
      <c r="F618" s="304"/>
      <c r="G618" s="304"/>
      <c r="H618" s="304"/>
      <c r="I618" s="304"/>
      <c r="J618" s="304"/>
      <c r="K618" s="304"/>
      <c r="L618" s="304"/>
      <c r="M618" s="304"/>
      <c r="N618" s="304"/>
      <c r="O618" s="304"/>
      <c r="P618" s="304"/>
      <c r="Q618" s="304"/>
      <c r="R618" s="304"/>
      <c r="S618" s="304"/>
      <c r="T618" s="304"/>
      <c r="U618" s="304"/>
      <c r="V618" s="304"/>
      <c r="W618" s="304"/>
      <c r="X618" s="304"/>
      <c r="Y618" s="304"/>
      <c r="Z618" s="304"/>
    </row>
    <row r="619" spans="1:26" x14ac:dyDescent="0.2">
      <c r="A619" s="304"/>
      <c r="B619" s="304"/>
      <c r="C619" s="304"/>
      <c r="D619" s="304"/>
      <c r="E619" s="304"/>
      <c r="F619" s="304"/>
      <c r="G619" s="304"/>
      <c r="H619" s="304"/>
      <c r="I619" s="304"/>
      <c r="J619" s="304"/>
      <c r="K619" s="304"/>
      <c r="L619" s="304"/>
      <c r="M619" s="304"/>
      <c r="N619" s="304"/>
      <c r="O619" s="304"/>
      <c r="P619" s="304"/>
      <c r="Q619" s="304"/>
      <c r="R619" s="304"/>
      <c r="S619" s="304"/>
      <c r="T619" s="304"/>
      <c r="U619" s="304"/>
      <c r="V619" s="304"/>
      <c r="W619" s="304"/>
      <c r="X619" s="304"/>
      <c r="Y619" s="304"/>
      <c r="Z619" s="304"/>
    </row>
    <row r="620" spans="1:26" x14ac:dyDescent="0.2">
      <c r="A620" s="304"/>
      <c r="B620" s="304"/>
      <c r="C620" s="304"/>
      <c r="D620" s="304"/>
      <c r="E620" s="304"/>
      <c r="F620" s="304"/>
      <c r="G620" s="304"/>
      <c r="H620" s="304"/>
      <c r="I620" s="304"/>
      <c r="J620" s="304"/>
      <c r="K620" s="304"/>
      <c r="L620" s="304"/>
      <c r="M620" s="304"/>
      <c r="N620" s="304"/>
      <c r="O620" s="304"/>
      <c r="P620" s="304"/>
      <c r="Q620" s="304"/>
      <c r="R620" s="304"/>
      <c r="S620" s="304"/>
      <c r="T620" s="304"/>
      <c r="U620" s="304"/>
      <c r="V620" s="304"/>
      <c r="W620" s="304"/>
      <c r="X620" s="304"/>
      <c r="Y620" s="304"/>
      <c r="Z620" s="304"/>
    </row>
    <row r="621" spans="1:26" x14ac:dyDescent="0.2">
      <c r="A621" s="304"/>
      <c r="B621" s="304"/>
      <c r="C621" s="304"/>
      <c r="D621" s="304"/>
      <c r="E621" s="304"/>
      <c r="F621" s="304"/>
      <c r="G621" s="304"/>
      <c r="H621" s="304"/>
      <c r="I621" s="304"/>
      <c r="J621" s="304"/>
      <c r="K621" s="304"/>
      <c r="L621" s="304"/>
      <c r="M621" s="304"/>
      <c r="N621" s="304"/>
      <c r="O621" s="304"/>
      <c r="P621" s="304"/>
      <c r="Q621" s="304"/>
      <c r="R621" s="304"/>
      <c r="S621" s="304"/>
      <c r="T621" s="304"/>
      <c r="U621" s="304"/>
      <c r="V621" s="304"/>
      <c r="W621" s="304"/>
      <c r="X621" s="304"/>
      <c r="Y621" s="304"/>
      <c r="Z621" s="304"/>
    </row>
    <row r="622" spans="1:26" x14ac:dyDescent="0.2">
      <c r="A622" s="304"/>
      <c r="B622" s="304"/>
      <c r="C622" s="304"/>
      <c r="D622" s="304"/>
      <c r="E622" s="304"/>
      <c r="F622" s="304"/>
      <c r="G622" s="304"/>
      <c r="H622" s="304"/>
      <c r="I622" s="304"/>
      <c r="J622" s="304"/>
      <c r="K622" s="304"/>
      <c r="L622" s="304"/>
      <c r="M622" s="304"/>
      <c r="N622" s="304"/>
      <c r="O622" s="304"/>
      <c r="P622" s="304"/>
      <c r="Q622" s="304"/>
      <c r="R622" s="304"/>
      <c r="S622" s="304"/>
      <c r="T622" s="304"/>
      <c r="U622" s="304"/>
      <c r="V622" s="304"/>
      <c r="W622" s="304"/>
      <c r="X622" s="304"/>
      <c r="Y622" s="304"/>
      <c r="Z622" s="304"/>
    </row>
    <row r="623" spans="1:26" x14ac:dyDescent="0.2">
      <c r="A623" s="304"/>
      <c r="B623" s="304"/>
      <c r="C623" s="304"/>
      <c r="D623" s="304"/>
      <c r="E623" s="304"/>
      <c r="F623" s="304"/>
      <c r="G623" s="304"/>
      <c r="H623" s="304"/>
      <c r="I623" s="304"/>
      <c r="J623" s="304"/>
      <c r="K623" s="304"/>
      <c r="L623" s="304"/>
      <c r="M623" s="304"/>
      <c r="N623" s="304"/>
      <c r="O623" s="304"/>
      <c r="P623" s="304"/>
      <c r="Q623" s="304"/>
      <c r="R623" s="304"/>
      <c r="S623" s="304"/>
      <c r="T623" s="304"/>
      <c r="U623" s="304"/>
      <c r="V623" s="304"/>
      <c r="W623" s="304"/>
      <c r="X623" s="304"/>
      <c r="Y623" s="304"/>
      <c r="Z623" s="304"/>
    </row>
    <row r="624" spans="1:26" x14ac:dyDescent="0.2">
      <c r="A624" s="304"/>
      <c r="B624" s="304"/>
      <c r="C624" s="304"/>
      <c r="D624" s="304"/>
      <c r="E624" s="304"/>
      <c r="F624" s="304"/>
      <c r="G624" s="304"/>
      <c r="H624" s="304"/>
      <c r="I624" s="304"/>
      <c r="J624" s="304"/>
      <c r="K624" s="304"/>
      <c r="L624" s="304"/>
      <c r="M624" s="304"/>
      <c r="N624" s="304"/>
      <c r="O624" s="304"/>
      <c r="P624" s="304"/>
      <c r="Q624" s="304"/>
      <c r="R624" s="304"/>
      <c r="S624" s="304"/>
      <c r="T624" s="304"/>
      <c r="U624" s="304"/>
      <c r="V624" s="304"/>
      <c r="W624" s="304"/>
      <c r="X624" s="304"/>
      <c r="Y624" s="304"/>
      <c r="Z624" s="304"/>
    </row>
    <row r="625" spans="1:26" x14ac:dyDescent="0.2">
      <c r="A625" s="304"/>
      <c r="B625" s="304"/>
      <c r="C625" s="304"/>
      <c r="D625" s="304"/>
      <c r="E625" s="304"/>
      <c r="F625" s="304"/>
      <c r="G625" s="304"/>
      <c r="H625" s="304"/>
      <c r="I625" s="304"/>
      <c r="J625" s="304"/>
      <c r="K625" s="304"/>
      <c r="L625" s="304"/>
      <c r="M625" s="304"/>
      <c r="N625" s="304"/>
      <c r="O625" s="304"/>
      <c r="P625" s="304"/>
      <c r="Q625" s="304"/>
      <c r="R625" s="304"/>
      <c r="S625" s="304"/>
      <c r="T625" s="304"/>
      <c r="U625" s="304"/>
      <c r="V625" s="304"/>
      <c r="W625" s="304"/>
      <c r="X625" s="304"/>
      <c r="Y625" s="304"/>
      <c r="Z625" s="304"/>
    </row>
    <row r="626" spans="1:26" x14ac:dyDescent="0.2">
      <c r="A626" s="304"/>
      <c r="B626" s="304"/>
      <c r="C626" s="304"/>
      <c r="D626" s="304"/>
      <c r="E626" s="304"/>
      <c r="F626" s="304"/>
      <c r="G626" s="304"/>
      <c r="H626" s="304"/>
      <c r="I626" s="304"/>
      <c r="J626" s="304"/>
      <c r="K626" s="304"/>
      <c r="L626" s="304"/>
      <c r="M626" s="304"/>
      <c r="N626" s="304"/>
      <c r="O626" s="304"/>
      <c r="P626" s="304"/>
      <c r="Q626" s="304"/>
      <c r="R626" s="304"/>
      <c r="S626" s="304"/>
      <c r="T626" s="304"/>
      <c r="U626" s="304"/>
      <c r="V626" s="304"/>
      <c r="W626" s="304"/>
      <c r="X626" s="304"/>
      <c r="Y626" s="304"/>
      <c r="Z626" s="304"/>
    </row>
    <row r="627" spans="1:26" x14ac:dyDescent="0.2">
      <c r="A627" s="304"/>
      <c r="B627" s="304"/>
      <c r="C627" s="304"/>
      <c r="D627" s="304"/>
      <c r="E627" s="304"/>
      <c r="F627" s="304"/>
      <c r="G627" s="304"/>
      <c r="H627" s="304"/>
      <c r="I627" s="304"/>
      <c r="J627" s="304"/>
      <c r="K627" s="304"/>
      <c r="L627" s="304"/>
      <c r="M627" s="304"/>
      <c r="N627" s="304"/>
      <c r="O627" s="304"/>
      <c r="P627" s="304"/>
      <c r="Q627" s="304"/>
      <c r="R627" s="304"/>
      <c r="S627" s="304"/>
      <c r="T627" s="304"/>
      <c r="U627" s="304"/>
      <c r="V627" s="304"/>
      <c r="W627" s="304"/>
      <c r="X627" s="304"/>
      <c r="Y627" s="304"/>
      <c r="Z627" s="304"/>
    </row>
    <row r="628" spans="1:26" x14ac:dyDescent="0.2">
      <c r="A628" s="304"/>
      <c r="B628" s="304"/>
      <c r="C628" s="304"/>
      <c r="D628" s="304"/>
      <c r="E628" s="304"/>
      <c r="F628" s="304"/>
      <c r="G628" s="304"/>
      <c r="H628" s="304"/>
      <c r="I628" s="304"/>
      <c r="J628" s="304"/>
      <c r="K628" s="304"/>
      <c r="L628" s="304"/>
      <c r="M628" s="304"/>
      <c r="N628" s="304"/>
      <c r="O628" s="304"/>
      <c r="P628" s="304"/>
      <c r="Q628" s="304"/>
      <c r="R628" s="304"/>
      <c r="S628" s="304"/>
      <c r="T628" s="304"/>
      <c r="U628" s="304"/>
      <c r="V628" s="304"/>
      <c r="W628" s="304"/>
      <c r="X628" s="304"/>
      <c r="Y628" s="304"/>
      <c r="Z628" s="304"/>
    </row>
    <row r="629" spans="1:26" x14ac:dyDescent="0.2">
      <c r="A629" s="304"/>
      <c r="B629" s="304"/>
      <c r="C629" s="304"/>
      <c r="D629" s="304"/>
      <c r="E629" s="304"/>
      <c r="F629" s="304"/>
      <c r="G629" s="304"/>
      <c r="H629" s="304"/>
      <c r="I629" s="304"/>
      <c r="J629" s="304"/>
      <c r="K629" s="304"/>
      <c r="L629" s="304"/>
      <c r="M629" s="304"/>
      <c r="N629" s="304"/>
      <c r="O629" s="304"/>
      <c r="P629" s="304"/>
      <c r="Q629" s="304"/>
      <c r="R629" s="304"/>
      <c r="S629" s="304"/>
      <c r="T629" s="304"/>
      <c r="U629" s="304"/>
      <c r="V629" s="304"/>
      <c r="W629" s="304"/>
      <c r="X629" s="304"/>
      <c r="Y629" s="304"/>
      <c r="Z629" s="304"/>
    </row>
    <row r="630" spans="1:26" x14ac:dyDescent="0.2">
      <c r="A630" s="304"/>
      <c r="B630" s="304"/>
      <c r="C630" s="304"/>
      <c r="D630" s="304"/>
      <c r="E630" s="304"/>
      <c r="F630" s="304"/>
      <c r="G630" s="304"/>
      <c r="H630" s="304"/>
      <c r="I630" s="304"/>
      <c r="J630" s="304"/>
      <c r="K630" s="304"/>
      <c r="L630" s="304"/>
      <c r="M630" s="304"/>
      <c r="N630" s="304"/>
      <c r="O630" s="304"/>
      <c r="P630" s="304"/>
      <c r="Q630" s="304"/>
      <c r="R630" s="304"/>
      <c r="S630" s="304"/>
      <c r="T630" s="304"/>
      <c r="U630" s="304"/>
      <c r="V630" s="304"/>
      <c r="W630" s="304"/>
      <c r="X630" s="304"/>
      <c r="Y630" s="304"/>
      <c r="Z630" s="304"/>
    </row>
    <row r="631" spans="1:26" x14ac:dyDescent="0.2">
      <c r="A631" s="304"/>
      <c r="B631" s="304"/>
      <c r="C631" s="304"/>
      <c r="D631" s="304"/>
      <c r="E631" s="304"/>
      <c r="F631" s="304"/>
      <c r="G631" s="304"/>
      <c r="H631" s="304"/>
      <c r="I631" s="304"/>
      <c r="J631" s="304"/>
      <c r="K631" s="304"/>
      <c r="L631" s="304"/>
      <c r="M631" s="304"/>
      <c r="N631" s="304"/>
      <c r="O631" s="304"/>
      <c r="P631" s="304"/>
      <c r="Q631" s="304"/>
      <c r="R631" s="304"/>
      <c r="S631" s="304"/>
      <c r="T631" s="304"/>
      <c r="U631" s="304"/>
      <c r="V631" s="304"/>
      <c r="W631" s="304"/>
      <c r="X631" s="304"/>
      <c r="Y631" s="304"/>
      <c r="Z631" s="304"/>
    </row>
    <row r="632" spans="1:26" x14ac:dyDescent="0.2">
      <c r="A632" s="304"/>
      <c r="B632" s="304"/>
      <c r="C632" s="304"/>
      <c r="D632" s="304"/>
      <c r="E632" s="304"/>
      <c r="F632" s="304"/>
      <c r="G632" s="304"/>
      <c r="H632" s="304"/>
      <c r="I632" s="304"/>
      <c r="J632" s="304"/>
      <c r="K632" s="304"/>
      <c r="L632" s="304"/>
      <c r="M632" s="304"/>
      <c r="N632" s="304"/>
      <c r="O632" s="304"/>
      <c r="P632" s="304"/>
      <c r="Q632" s="304"/>
      <c r="R632" s="304"/>
      <c r="S632" s="304"/>
      <c r="T632" s="304"/>
      <c r="U632" s="304"/>
      <c r="V632" s="304"/>
      <c r="W632" s="304"/>
      <c r="X632" s="304"/>
      <c r="Y632" s="304"/>
      <c r="Z632" s="304"/>
    </row>
    <row r="633" spans="1:26" x14ac:dyDescent="0.2">
      <c r="A633" s="304"/>
      <c r="B633" s="304"/>
      <c r="C633" s="304"/>
      <c r="D633" s="304"/>
      <c r="E633" s="304"/>
      <c r="F633" s="304"/>
      <c r="G633" s="304"/>
      <c r="H633" s="304"/>
      <c r="I633" s="304"/>
      <c r="J633" s="304"/>
      <c r="K633" s="304"/>
      <c r="L633" s="304"/>
      <c r="M633" s="304"/>
      <c r="N633" s="304"/>
      <c r="O633" s="304"/>
      <c r="P633" s="304"/>
      <c r="Q633" s="304"/>
      <c r="R633" s="304"/>
      <c r="S633" s="304"/>
      <c r="T633" s="304"/>
      <c r="U633" s="304"/>
      <c r="V633" s="304"/>
      <c r="W633" s="304"/>
      <c r="X633" s="304"/>
      <c r="Y633" s="304"/>
      <c r="Z633" s="304"/>
    </row>
    <row r="634" spans="1:26" x14ac:dyDescent="0.2">
      <c r="A634" s="304"/>
      <c r="B634" s="304"/>
      <c r="C634" s="304"/>
      <c r="D634" s="304"/>
      <c r="E634" s="304"/>
      <c r="F634" s="304"/>
      <c r="G634" s="304"/>
      <c r="H634" s="304"/>
      <c r="I634" s="304"/>
      <c r="J634" s="304"/>
      <c r="K634" s="304"/>
      <c r="L634" s="304"/>
      <c r="M634" s="304"/>
      <c r="N634" s="304"/>
      <c r="O634" s="304"/>
      <c r="P634" s="304"/>
      <c r="Q634" s="304"/>
      <c r="R634" s="304"/>
      <c r="S634" s="304"/>
      <c r="T634" s="304"/>
      <c r="U634" s="304"/>
      <c r="V634" s="304"/>
      <c r="W634" s="304"/>
      <c r="X634" s="304"/>
      <c r="Y634" s="304"/>
      <c r="Z634" s="304"/>
    </row>
    <row r="635" spans="1:26" x14ac:dyDescent="0.2">
      <c r="A635" s="304"/>
      <c r="B635" s="304"/>
      <c r="C635" s="304"/>
      <c r="D635" s="304"/>
      <c r="E635" s="304"/>
      <c r="F635" s="304"/>
      <c r="G635" s="304"/>
      <c r="H635" s="304"/>
      <c r="I635" s="304"/>
      <c r="J635" s="304"/>
      <c r="K635" s="304"/>
      <c r="L635" s="304"/>
      <c r="M635" s="304"/>
      <c r="N635" s="304"/>
      <c r="O635" s="304"/>
      <c r="P635" s="304"/>
      <c r="Q635" s="304"/>
      <c r="R635" s="304"/>
      <c r="S635" s="304"/>
      <c r="T635" s="304"/>
      <c r="U635" s="304"/>
      <c r="V635" s="304"/>
      <c r="W635" s="304"/>
      <c r="X635" s="304"/>
      <c r="Y635" s="304"/>
      <c r="Z635" s="304"/>
    </row>
    <row r="636" spans="1:26" x14ac:dyDescent="0.2">
      <c r="A636" s="304"/>
      <c r="B636" s="304"/>
      <c r="C636" s="304"/>
      <c r="D636" s="304"/>
      <c r="E636" s="304"/>
      <c r="F636" s="304"/>
      <c r="G636" s="304"/>
      <c r="H636" s="304"/>
      <c r="I636" s="304"/>
      <c r="J636" s="304"/>
      <c r="K636" s="304"/>
      <c r="L636" s="304"/>
      <c r="M636" s="304"/>
      <c r="N636" s="304"/>
      <c r="O636" s="304"/>
      <c r="P636" s="304"/>
      <c r="Q636" s="304"/>
      <c r="R636" s="304"/>
      <c r="S636" s="304"/>
      <c r="T636" s="304"/>
      <c r="U636" s="304"/>
      <c r="V636" s="304"/>
      <c r="W636" s="304"/>
      <c r="X636" s="304"/>
      <c r="Y636" s="304"/>
      <c r="Z636" s="304"/>
    </row>
    <row r="637" spans="1:26" x14ac:dyDescent="0.2">
      <c r="A637" s="304"/>
      <c r="B637" s="304"/>
      <c r="C637" s="304"/>
      <c r="D637" s="304"/>
      <c r="E637" s="304"/>
      <c r="F637" s="304"/>
      <c r="G637" s="304"/>
      <c r="H637" s="304"/>
      <c r="I637" s="304"/>
      <c r="J637" s="304"/>
      <c r="K637" s="304"/>
      <c r="L637" s="304"/>
      <c r="M637" s="304"/>
      <c r="N637" s="304"/>
      <c r="O637" s="304"/>
      <c r="P637" s="304"/>
      <c r="Q637" s="304"/>
      <c r="R637" s="304"/>
      <c r="S637" s="304"/>
      <c r="T637" s="304"/>
      <c r="U637" s="304"/>
      <c r="V637" s="304"/>
      <c r="W637" s="304"/>
      <c r="X637" s="304"/>
      <c r="Y637" s="304"/>
      <c r="Z637" s="304"/>
    </row>
    <row r="638" spans="1:26" x14ac:dyDescent="0.2">
      <c r="A638" s="304"/>
      <c r="B638" s="304"/>
      <c r="C638" s="304"/>
      <c r="D638" s="304"/>
      <c r="E638" s="304"/>
      <c r="F638" s="304"/>
      <c r="G638" s="304"/>
      <c r="H638" s="304"/>
      <c r="I638" s="304"/>
      <c r="J638" s="304"/>
      <c r="K638" s="304"/>
      <c r="L638" s="304"/>
      <c r="M638" s="304"/>
      <c r="N638" s="304"/>
      <c r="O638" s="304"/>
      <c r="P638" s="304"/>
      <c r="Q638" s="304"/>
      <c r="R638" s="304"/>
      <c r="S638" s="304"/>
      <c r="T638" s="304"/>
      <c r="U638" s="304"/>
      <c r="V638" s="304"/>
      <c r="W638" s="304"/>
      <c r="X638" s="304"/>
      <c r="Y638" s="304"/>
      <c r="Z638" s="304"/>
    </row>
    <row r="639" spans="1:26" x14ac:dyDescent="0.2">
      <c r="A639" s="304"/>
      <c r="B639" s="304"/>
      <c r="C639" s="304"/>
      <c r="D639" s="304"/>
      <c r="E639" s="304"/>
      <c r="F639" s="304"/>
      <c r="G639" s="304"/>
      <c r="H639" s="304"/>
      <c r="I639" s="304"/>
      <c r="J639" s="304"/>
      <c r="K639" s="304"/>
      <c r="L639" s="304"/>
      <c r="M639" s="304"/>
      <c r="N639" s="304"/>
      <c r="O639" s="304"/>
      <c r="P639" s="304"/>
      <c r="Q639" s="304"/>
      <c r="R639" s="304"/>
      <c r="S639" s="304"/>
      <c r="T639" s="304"/>
      <c r="U639" s="304"/>
      <c r="V639" s="304"/>
      <c r="W639" s="304"/>
      <c r="X639" s="304"/>
      <c r="Y639" s="304"/>
      <c r="Z639" s="304"/>
    </row>
    <row r="640" spans="1:26" x14ac:dyDescent="0.2">
      <c r="A640" s="304"/>
      <c r="B640" s="304"/>
      <c r="C640" s="304"/>
      <c r="D640" s="304"/>
      <c r="E640" s="304"/>
      <c r="F640" s="304"/>
      <c r="G640" s="304"/>
      <c r="H640" s="304"/>
      <c r="I640" s="304"/>
      <c r="J640" s="304"/>
      <c r="K640" s="304"/>
      <c r="L640" s="304"/>
      <c r="M640" s="304"/>
      <c r="N640" s="304"/>
      <c r="O640" s="304"/>
      <c r="P640" s="304"/>
      <c r="Q640" s="304"/>
      <c r="R640" s="304"/>
      <c r="S640" s="304"/>
      <c r="T640" s="304"/>
      <c r="U640" s="304"/>
      <c r="V640" s="304"/>
      <c r="W640" s="304"/>
      <c r="X640" s="304"/>
      <c r="Y640" s="304"/>
      <c r="Z640" s="304"/>
    </row>
    <row r="641" spans="1:26" x14ac:dyDescent="0.2">
      <c r="A641" s="304"/>
      <c r="B641" s="304"/>
      <c r="C641" s="304"/>
      <c r="D641" s="304"/>
      <c r="E641" s="304"/>
      <c r="F641" s="304"/>
      <c r="G641" s="304"/>
      <c r="H641" s="304"/>
      <c r="I641" s="304"/>
      <c r="J641" s="304"/>
      <c r="K641" s="304"/>
      <c r="L641" s="304"/>
      <c r="M641" s="304"/>
      <c r="N641" s="304"/>
      <c r="O641" s="304"/>
      <c r="P641" s="304"/>
      <c r="Q641" s="304"/>
      <c r="R641" s="304"/>
      <c r="S641" s="304"/>
      <c r="T641" s="304"/>
      <c r="U641" s="304"/>
      <c r="V641" s="304"/>
      <c r="W641" s="304"/>
      <c r="X641" s="304"/>
      <c r="Y641" s="304"/>
      <c r="Z641" s="304"/>
    </row>
    <row r="642" spans="1:26" x14ac:dyDescent="0.2">
      <c r="A642" s="304"/>
      <c r="B642" s="304"/>
      <c r="C642" s="304"/>
      <c r="D642" s="304"/>
      <c r="E642" s="304"/>
      <c r="F642" s="304"/>
      <c r="G642" s="304"/>
      <c r="H642" s="304"/>
      <c r="I642" s="304"/>
      <c r="J642" s="304"/>
      <c r="K642" s="304"/>
      <c r="L642" s="304"/>
      <c r="M642" s="304"/>
      <c r="N642" s="304"/>
      <c r="O642" s="304"/>
      <c r="P642" s="304"/>
      <c r="Q642" s="304"/>
      <c r="R642" s="304"/>
      <c r="S642" s="304"/>
      <c r="T642" s="304"/>
      <c r="U642" s="304"/>
      <c r="V642" s="304"/>
      <c r="W642" s="304"/>
      <c r="X642" s="304"/>
      <c r="Y642" s="304"/>
      <c r="Z642" s="304"/>
    </row>
    <row r="643" spans="1:26" x14ac:dyDescent="0.2">
      <c r="A643" s="304"/>
      <c r="B643" s="304"/>
      <c r="C643" s="304"/>
      <c r="D643" s="304"/>
      <c r="E643" s="304"/>
      <c r="F643" s="304"/>
      <c r="G643" s="304"/>
      <c r="H643" s="304"/>
      <c r="I643" s="304"/>
      <c r="J643" s="304"/>
      <c r="K643" s="304"/>
      <c r="L643" s="304"/>
      <c r="M643" s="304"/>
      <c r="N643" s="304"/>
      <c r="O643" s="304"/>
      <c r="P643" s="304"/>
      <c r="Q643" s="304"/>
      <c r="R643" s="304"/>
      <c r="S643" s="304"/>
      <c r="T643" s="304"/>
      <c r="U643" s="304"/>
      <c r="V643" s="304"/>
      <c r="W643" s="304"/>
      <c r="X643" s="304"/>
      <c r="Y643" s="304"/>
      <c r="Z643" s="304"/>
    </row>
    <row r="644" spans="1:26" x14ac:dyDescent="0.2">
      <c r="A644" s="304"/>
      <c r="B644" s="304"/>
      <c r="C644" s="304"/>
      <c r="D644" s="304"/>
      <c r="E644" s="304"/>
      <c r="F644" s="304"/>
      <c r="G644" s="304"/>
      <c r="H644" s="304"/>
      <c r="I644" s="304"/>
      <c r="J644" s="304"/>
      <c r="K644" s="304"/>
      <c r="L644" s="304"/>
      <c r="M644" s="304"/>
      <c r="N644" s="304"/>
      <c r="O644" s="304"/>
      <c r="P644" s="304"/>
      <c r="Q644" s="304"/>
      <c r="R644" s="304"/>
      <c r="S644" s="304"/>
      <c r="T644" s="304"/>
      <c r="U644" s="304"/>
      <c r="V644" s="304"/>
      <c r="W644" s="304"/>
      <c r="X644" s="304"/>
      <c r="Y644" s="304"/>
      <c r="Z644" s="304"/>
    </row>
    <row r="645" spans="1:26" x14ac:dyDescent="0.2">
      <c r="A645" s="304"/>
      <c r="B645" s="304"/>
      <c r="C645" s="304"/>
      <c r="D645" s="304"/>
      <c r="E645" s="304"/>
      <c r="F645" s="304"/>
      <c r="G645" s="304"/>
      <c r="H645" s="304"/>
      <c r="I645" s="304"/>
      <c r="J645" s="304"/>
      <c r="K645" s="304"/>
      <c r="L645" s="304"/>
      <c r="M645" s="304"/>
      <c r="N645" s="304"/>
      <c r="O645" s="304"/>
      <c r="P645" s="304"/>
      <c r="Q645" s="304"/>
      <c r="R645" s="304"/>
      <c r="S645" s="304"/>
      <c r="T645" s="304"/>
      <c r="U645" s="304"/>
      <c r="V645" s="304"/>
      <c r="W645" s="304"/>
      <c r="X645" s="304"/>
      <c r="Y645" s="304"/>
      <c r="Z645" s="304"/>
    </row>
    <row r="646" spans="1:26" x14ac:dyDescent="0.2">
      <c r="A646" s="304"/>
      <c r="B646" s="304"/>
      <c r="C646" s="304"/>
      <c r="D646" s="304"/>
      <c r="E646" s="304"/>
      <c r="F646" s="304"/>
      <c r="G646" s="304"/>
      <c r="H646" s="304"/>
      <c r="I646" s="304"/>
      <c r="J646" s="304"/>
      <c r="K646" s="304"/>
      <c r="L646" s="304"/>
      <c r="M646" s="304"/>
      <c r="N646" s="304"/>
      <c r="O646" s="304"/>
      <c r="P646" s="304"/>
      <c r="Q646" s="304"/>
      <c r="R646" s="304"/>
      <c r="S646" s="304"/>
      <c r="T646" s="304"/>
      <c r="U646" s="304"/>
      <c r="V646" s="304"/>
      <c r="W646" s="304"/>
      <c r="X646" s="304"/>
      <c r="Y646" s="304"/>
      <c r="Z646" s="304"/>
    </row>
    <row r="647" spans="1:26" x14ac:dyDescent="0.2">
      <c r="A647" s="304"/>
      <c r="B647" s="304"/>
      <c r="C647" s="304"/>
      <c r="D647" s="304"/>
      <c r="E647" s="304"/>
      <c r="F647" s="304"/>
      <c r="G647" s="304"/>
      <c r="H647" s="304"/>
      <c r="I647" s="304"/>
      <c r="J647" s="304"/>
      <c r="K647" s="304"/>
      <c r="L647" s="304"/>
      <c r="M647" s="304"/>
      <c r="N647" s="304"/>
      <c r="O647" s="304"/>
      <c r="P647" s="304"/>
      <c r="Q647" s="304"/>
      <c r="R647" s="304"/>
      <c r="S647" s="304"/>
      <c r="T647" s="304"/>
      <c r="U647" s="304"/>
      <c r="V647" s="304"/>
      <c r="W647" s="304"/>
      <c r="X647" s="304"/>
      <c r="Y647" s="304"/>
      <c r="Z647" s="304"/>
    </row>
    <row r="648" spans="1:26" x14ac:dyDescent="0.2">
      <c r="A648" s="304"/>
      <c r="B648" s="304"/>
      <c r="C648" s="304"/>
      <c r="D648" s="304"/>
      <c r="E648" s="304"/>
      <c r="F648" s="304"/>
      <c r="G648" s="304"/>
      <c r="H648" s="304"/>
      <c r="I648" s="304"/>
      <c r="J648" s="304"/>
      <c r="K648" s="304"/>
      <c r="L648" s="304"/>
      <c r="M648" s="304"/>
      <c r="N648" s="304"/>
      <c r="O648" s="304"/>
      <c r="P648" s="304"/>
      <c r="Q648" s="304"/>
      <c r="R648" s="304"/>
      <c r="S648" s="304"/>
      <c r="T648" s="304"/>
      <c r="U648" s="304"/>
      <c r="V648" s="304"/>
      <c r="W648" s="304"/>
      <c r="X648" s="304"/>
      <c r="Y648" s="304"/>
      <c r="Z648" s="304"/>
    </row>
    <row r="649" spans="1:26" x14ac:dyDescent="0.2">
      <c r="A649" s="304"/>
      <c r="B649" s="304"/>
      <c r="C649" s="304"/>
      <c r="D649" s="304"/>
      <c r="E649" s="304"/>
      <c r="F649" s="304"/>
      <c r="G649" s="304"/>
      <c r="H649" s="304"/>
      <c r="I649" s="304"/>
      <c r="J649" s="304"/>
      <c r="K649" s="304"/>
      <c r="L649" s="304"/>
      <c r="M649" s="304"/>
      <c r="N649" s="304"/>
      <c r="O649" s="304"/>
      <c r="P649" s="304"/>
      <c r="Q649" s="304"/>
      <c r="R649" s="304"/>
      <c r="S649" s="304"/>
      <c r="T649" s="304"/>
      <c r="U649" s="304"/>
      <c r="V649" s="304"/>
      <c r="W649" s="304"/>
      <c r="X649" s="304"/>
      <c r="Y649" s="304"/>
      <c r="Z649" s="304"/>
    </row>
    <row r="650" spans="1:26" x14ac:dyDescent="0.2">
      <c r="A650" s="304"/>
      <c r="B650" s="304"/>
      <c r="C650" s="304"/>
      <c r="D650" s="304"/>
      <c r="E650" s="304"/>
      <c r="F650" s="304"/>
      <c r="G650" s="304"/>
      <c r="H650" s="304"/>
      <c r="I650" s="304"/>
      <c r="J650" s="304"/>
      <c r="K650" s="304"/>
      <c r="L650" s="304"/>
      <c r="M650" s="304"/>
      <c r="N650" s="304"/>
      <c r="O650" s="304"/>
      <c r="P650" s="304"/>
      <c r="Q650" s="304"/>
      <c r="R650" s="304"/>
      <c r="S650" s="304"/>
      <c r="T650" s="304"/>
      <c r="U650" s="304"/>
      <c r="V650" s="304"/>
      <c r="W650" s="304"/>
      <c r="X650" s="304"/>
      <c r="Y650" s="304"/>
      <c r="Z650" s="304"/>
    </row>
    <row r="651" spans="1:26" x14ac:dyDescent="0.2">
      <c r="A651" s="304"/>
      <c r="B651" s="304"/>
      <c r="C651" s="304"/>
      <c r="D651" s="304"/>
      <c r="E651" s="304"/>
      <c r="F651" s="304"/>
      <c r="G651" s="304"/>
      <c r="H651" s="304"/>
      <c r="I651" s="304"/>
      <c r="J651" s="304"/>
      <c r="K651" s="304"/>
      <c r="L651" s="304"/>
      <c r="M651" s="304"/>
      <c r="N651" s="304"/>
      <c r="O651" s="304"/>
      <c r="P651" s="304"/>
      <c r="Q651" s="304"/>
      <c r="R651" s="304"/>
      <c r="S651" s="304"/>
      <c r="T651" s="304"/>
      <c r="U651" s="304"/>
      <c r="V651" s="304"/>
      <c r="W651" s="304"/>
      <c r="X651" s="304"/>
      <c r="Y651" s="304"/>
      <c r="Z651" s="304"/>
    </row>
    <row r="652" spans="1:26" x14ac:dyDescent="0.2">
      <c r="A652" s="304"/>
      <c r="B652" s="304"/>
      <c r="C652" s="304"/>
      <c r="D652" s="304"/>
      <c r="E652" s="304"/>
      <c r="F652" s="304"/>
      <c r="G652" s="304"/>
      <c r="H652" s="304"/>
      <c r="I652" s="304"/>
      <c r="J652" s="304"/>
      <c r="K652" s="304"/>
      <c r="L652" s="304"/>
      <c r="M652" s="304"/>
      <c r="N652" s="304"/>
      <c r="O652" s="304"/>
      <c r="P652" s="304"/>
      <c r="Q652" s="304"/>
      <c r="R652" s="304"/>
      <c r="S652" s="304"/>
      <c r="T652" s="304"/>
      <c r="U652" s="304"/>
      <c r="V652" s="304"/>
      <c r="W652" s="304"/>
      <c r="X652" s="304"/>
      <c r="Y652" s="304"/>
      <c r="Z652" s="304"/>
    </row>
    <row r="653" spans="1:26" x14ac:dyDescent="0.2">
      <c r="A653" s="304"/>
      <c r="B653" s="304"/>
      <c r="C653" s="304"/>
      <c r="D653" s="304"/>
      <c r="E653" s="304"/>
      <c r="F653" s="304"/>
      <c r="G653" s="304"/>
      <c r="H653" s="304"/>
      <c r="I653" s="304"/>
      <c r="J653" s="304"/>
      <c r="K653" s="304"/>
      <c r="L653" s="304"/>
      <c r="M653" s="304"/>
      <c r="N653" s="304"/>
      <c r="O653" s="304"/>
      <c r="P653" s="304"/>
      <c r="Q653" s="304"/>
      <c r="R653" s="304"/>
      <c r="S653" s="304"/>
      <c r="T653" s="304"/>
      <c r="U653" s="304"/>
      <c r="V653" s="304"/>
      <c r="W653" s="304"/>
      <c r="X653" s="304"/>
      <c r="Y653" s="304"/>
      <c r="Z653" s="304"/>
    </row>
    <row r="654" spans="1:26" x14ac:dyDescent="0.2">
      <c r="A654" s="304"/>
      <c r="B654" s="304"/>
      <c r="C654" s="304"/>
      <c r="D654" s="304"/>
      <c r="E654" s="304"/>
      <c r="F654" s="304"/>
      <c r="G654" s="304"/>
      <c r="H654" s="304"/>
      <c r="I654" s="304"/>
      <c r="J654" s="304"/>
      <c r="K654" s="304"/>
      <c r="L654" s="304"/>
      <c r="M654" s="304"/>
      <c r="N654" s="304"/>
      <c r="O654" s="304"/>
      <c r="P654" s="304"/>
      <c r="Q654" s="304"/>
      <c r="R654" s="304"/>
      <c r="S654" s="304"/>
      <c r="T654" s="304"/>
      <c r="U654" s="304"/>
      <c r="V654" s="304"/>
      <c r="W654" s="304"/>
      <c r="X654" s="304"/>
      <c r="Y654" s="304"/>
      <c r="Z654" s="304"/>
    </row>
    <row r="655" spans="1:26" x14ac:dyDescent="0.2">
      <c r="A655" s="304"/>
      <c r="B655" s="304"/>
      <c r="C655" s="304"/>
      <c r="D655" s="304"/>
      <c r="E655" s="304"/>
      <c r="F655" s="304"/>
      <c r="G655" s="304"/>
      <c r="H655" s="304"/>
      <c r="I655" s="304"/>
      <c r="J655" s="304"/>
      <c r="K655" s="304"/>
      <c r="L655" s="304"/>
      <c r="M655" s="304"/>
      <c r="N655" s="304"/>
      <c r="O655" s="304"/>
      <c r="P655" s="304"/>
      <c r="Q655" s="304"/>
      <c r="R655" s="304"/>
      <c r="S655" s="304"/>
      <c r="T655" s="304"/>
      <c r="U655" s="304"/>
      <c r="V655" s="304"/>
      <c r="W655" s="304"/>
      <c r="X655" s="304"/>
      <c r="Y655" s="304"/>
      <c r="Z655" s="304"/>
    </row>
    <row r="656" spans="1:26" x14ac:dyDescent="0.2">
      <c r="A656" s="304"/>
      <c r="B656" s="304"/>
      <c r="C656" s="304"/>
      <c r="D656" s="304"/>
      <c r="E656" s="304"/>
      <c r="F656" s="304"/>
      <c r="G656" s="304"/>
      <c r="H656" s="304"/>
      <c r="I656" s="304"/>
      <c r="J656" s="304"/>
      <c r="K656" s="304"/>
      <c r="L656" s="304"/>
      <c r="M656" s="304"/>
      <c r="N656" s="304"/>
      <c r="O656" s="304"/>
      <c r="P656" s="304"/>
      <c r="Q656" s="304"/>
      <c r="R656" s="304"/>
      <c r="S656" s="304"/>
      <c r="T656" s="304"/>
      <c r="U656" s="304"/>
      <c r="V656" s="304"/>
      <c r="W656" s="304"/>
      <c r="X656" s="304"/>
      <c r="Y656" s="304"/>
      <c r="Z656" s="304"/>
    </row>
    <row r="657" spans="1:26" x14ac:dyDescent="0.2">
      <c r="A657" s="304"/>
      <c r="B657" s="304"/>
      <c r="C657" s="304"/>
      <c r="D657" s="304"/>
      <c r="E657" s="304"/>
      <c r="F657" s="304"/>
      <c r="G657" s="304"/>
      <c r="H657" s="304"/>
      <c r="I657" s="304"/>
      <c r="J657" s="304"/>
      <c r="K657" s="304"/>
      <c r="L657" s="304"/>
      <c r="M657" s="304"/>
      <c r="N657" s="304"/>
      <c r="O657" s="304"/>
      <c r="P657" s="304"/>
      <c r="Q657" s="304"/>
      <c r="R657" s="304"/>
      <c r="S657" s="304"/>
      <c r="T657" s="304"/>
      <c r="U657" s="304"/>
      <c r="V657" s="304"/>
      <c r="W657" s="304"/>
      <c r="X657" s="304"/>
      <c r="Y657" s="304"/>
      <c r="Z657" s="304"/>
    </row>
    <row r="658" spans="1:26" x14ac:dyDescent="0.2">
      <c r="A658" s="304"/>
      <c r="B658" s="304"/>
      <c r="C658" s="304"/>
      <c r="D658" s="304"/>
      <c r="E658" s="304"/>
      <c r="F658" s="304"/>
      <c r="G658" s="304"/>
      <c r="H658" s="304"/>
      <c r="I658" s="304"/>
      <c r="J658" s="304"/>
      <c r="K658" s="304"/>
      <c r="L658" s="304"/>
      <c r="M658" s="304"/>
      <c r="N658" s="304"/>
      <c r="O658" s="304"/>
      <c r="P658" s="304"/>
      <c r="Q658" s="304"/>
      <c r="R658" s="304"/>
      <c r="S658" s="304"/>
      <c r="T658" s="304"/>
      <c r="U658" s="304"/>
      <c r="V658" s="304"/>
      <c r="W658" s="304"/>
      <c r="X658" s="304"/>
      <c r="Y658" s="304"/>
      <c r="Z658" s="304"/>
    </row>
    <row r="659" spans="1:26" x14ac:dyDescent="0.2">
      <c r="A659" s="304"/>
      <c r="B659" s="304"/>
      <c r="C659" s="304"/>
      <c r="D659" s="304"/>
      <c r="E659" s="304"/>
      <c r="F659" s="304"/>
      <c r="G659" s="304"/>
      <c r="H659" s="304"/>
      <c r="I659" s="304"/>
      <c r="J659" s="304"/>
      <c r="K659" s="304"/>
      <c r="L659" s="304"/>
      <c r="M659" s="304"/>
      <c r="N659" s="304"/>
      <c r="O659" s="304"/>
      <c r="P659" s="304"/>
      <c r="Q659" s="304"/>
      <c r="R659" s="304"/>
      <c r="S659" s="304"/>
      <c r="T659" s="304"/>
      <c r="U659" s="304"/>
      <c r="V659" s="304"/>
      <c r="W659" s="304"/>
      <c r="X659" s="304"/>
      <c r="Y659" s="304"/>
      <c r="Z659" s="304"/>
    </row>
    <row r="660" spans="1:26" x14ac:dyDescent="0.2">
      <c r="A660" s="304"/>
      <c r="B660" s="304"/>
      <c r="C660" s="304"/>
      <c r="D660" s="304"/>
      <c r="E660" s="304"/>
      <c r="F660" s="304"/>
      <c r="G660" s="304"/>
      <c r="H660" s="304"/>
      <c r="I660" s="304"/>
      <c r="J660" s="304"/>
      <c r="K660" s="304"/>
      <c r="L660" s="304"/>
      <c r="M660" s="304"/>
      <c r="N660" s="304"/>
      <c r="O660" s="304"/>
      <c r="P660" s="304"/>
      <c r="Q660" s="304"/>
      <c r="R660" s="304"/>
      <c r="S660" s="304"/>
      <c r="T660" s="304"/>
      <c r="U660" s="304"/>
      <c r="V660" s="304"/>
      <c r="W660" s="304"/>
      <c r="X660" s="304"/>
      <c r="Y660" s="304"/>
      <c r="Z660" s="304"/>
    </row>
    <row r="661" spans="1:26" x14ac:dyDescent="0.2">
      <c r="A661" s="304"/>
      <c r="B661" s="304"/>
      <c r="C661" s="304"/>
      <c r="D661" s="304"/>
      <c r="E661" s="304"/>
      <c r="F661" s="304"/>
      <c r="G661" s="304"/>
      <c r="H661" s="304"/>
      <c r="I661" s="304"/>
      <c r="J661" s="304"/>
      <c r="K661" s="304"/>
      <c r="L661" s="304"/>
      <c r="M661" s="304"/>
      <c r="N661" s="304"/>
      <c r="O661" s="304"/>
      <c r="P661" s="304"/>
      <c r="Q661" s="304"/>
      <c r="R661" s="304"/>
      <c r="S661" s="304"/>
      <c r="T661" s="304"/>
      <c r="U661" s="304"/>
      <c r="V661" s="304"/>
      <c r="W661" s="304"/>
      <c r="X661" s="304"/>
      <c r="Y661" s="304"/>
      <c r="Z661" s="304"/>
    </row>
    <row r="662" spans="1:26" x14ac:dyDescent="0.2">
      <c r="A662" s="304"/>
      <c r="B662" s="304"/>
      <c r="C662" s="304"/>
      <c r="D662" s="304"/>
      <c r="E662" s="304"/>
      <c r="F662" s="304"/>
      <c r="G662" s="304"/>
      <c r="H662" s="304"/>
      <c r="I662" s="304"/>
      <c r="J662" s="304"/>
      <c r="K662" s="304"/>
      <c r="L662" s="304"/>
      <c r="M662" s="304"/>
      <c r="N662" s="304"/>
      <c r="O662" s="304"/>
      <c r="P662" s="304"/>
      <c r="Q662" s="304"/>
      <c r="R662" s="304"/>
      <c r="S662" s="304"/>
      <c r="T662" s="304"/>
      <c r="U662" s="304"/>
      <c r="V662" s="304"/>
      <c r="W662" s="304"/>
      <c r="X662" s="304"/>
      <c r="Y662" s="304"/>
      <c r="Z662" s="304"/>
    </row>
    <row r="663" spans="1:26" x14ac:dyDescent="0.2">
      <c r="A663" s="304"/>
      <c r="B663" s="304"/>
      <c r="C663" s="304"/>
      <c r="D663" s="304"/>
      <c r="E663" s="304"/>
      <c r="F663" s="304"/>
      <c r="G663" s="304"/>
      <c r="H663" s="304"/>
      <c r="I663" s="304"/>
      <c r="J663" s="304"/>
      <c r="K663" s="304"/>
      <c r="L663" s="304"/>
      <c r="M663" s="304"/>
      <c r="N663" s="304"/>
      <c r="O663" s="304"/>
      <c r="P663" s="304"/>
      <c r="Q663" s="304"/>
      <c r="R663" s="304"/>
      <c r="S663" s="304"/>
      <c r="T663" s="304"/>
      <c r="U663" s="304"/>
      <c r="V663" s="304"/>
      <c r="W663" s="304"/>
      <c r="X663" s="304"/>
      <c r="Y663" s="304"/>
      <c r="Z663" s="304"/>
    </row>
    <row r="664" spans="1:26" x14ac:dyDescent="0.2">
      <c r="A664" s="304"/>
      <c r="B664" s="304"/>
      <c r="C664" s="304"/>
      <c r="D664" s="304"/>
      <c r="E664" s="304"/>
      <c r="F664" s="304"/>
      <c r="G664" s="304"/>
      <c r="H664" s="304"/>
      <c r="I664" s="304"/>
      <c r="J664" s="304"/>
      <c r="K664" s="304"/>
      <c r="L664" s="304"/>
      <c r="M664" s="304"/>
      <c r="N664" s="304"/>
      <c r="O664" s="304"/>
      <c r="P664" s="304"/>
      <c r="Q664" s="304"/>
      <c r="R664" s="304"/>
      <c r="S664" s="304"/>
      <c r="T664" s="304"/>
      <c r="U664" s="304"/>
      <c r="V664" s="304"/>
      <c r="W664" s="304"/>
      <c r="X664" s="304"/>
      <c r="Y664" s="304"/>
      <c r="Z664" s="304"/>
    </row>
    <row r="665" spans="1:26" x14ac:dyDescent="0.2">
      <c r="A665" s="304"/>
      <c r="B665" s="304"/>
      <c r="C665" s="304"/>
      <c r="D665" s="304"/>
      <c r="E665" s="304"/>
      <c r="F665" s="304"/>
      <c r="G665" s="304"/>
      <c r="H665" s="304"/>
      <c r="I665" s="304"/>
      <c r="J665" s="304"/>
      <c r="K665" s="304"/>
      <c r="L665" s="304"/>
      <c r="M665" s="304"/>
      <c r="N665" s="304"/>
      <c r="O665" s="304"/>
      <c r="P665" s="304"/>
      <c r="Q665" s="304"/>
      <c r="R665" s="304"/>
      <c r="S665" s="304"/>
      <c r="T665" s="304"/>
      <c r="U665" s="304"/>
      <c r="V665" s="304"/>
      <c r="W665" s="304"/>
      <c r="X665" s="304"/>
      <c r="Y665" s="304"/>
      <c r="Z665" s="304"/>
    </row>
    <row r="666" spans="1:26" x14ac:dyDescent="0.2">
      <c r="A666" s="304"/>
      <c r="B666" s="304"/>
      <c r="C666" s="304"/>
      <c r="D666" s="304"/>
      <c r="E666" s="304"/>
      <c r="F666" s="304"/>
      <c r="G666" s="304"/>
      <c r="H666" s="304"/>
      <c r="I666" s="304"/>
      <c r="J666" s="304"/>
      <c r="K666" s="304"/>
      <c r="L666" s="304"/>
      <c r="M666" s="304"/>
      <c r="N666" s="304"/>
      <c r="O666" s="304"/>
      <c r="P666" s="304"/>
      <c r="Q666" s="304"/>
      <c r="R666" s="304"/>
      <c r="S666" s="304"/>
      <c r="T666" s="304"/>
      <c r="U666" s="304"/>
      <c r="V666" s="304"/>
      <c r="W666" s="304"/>
      <c r="X666" s="304"/>
      <c r="Y666" s="304"/>
      <c r="Z666" s="304"/>
    </row>
    <row r="667" spans="1:26" x14ac:dyDescent="0.2">
      <c r="A667" s="304"/>
      <c r="B667" s="304"/>
      <c r="C667" s="304"/>
      <c r="D667" s="304"/>
      <c r="E667" s="304"/>
      <c r="F667" s="304"/>
      <c r="G667" s="304"/>
      <c r="H667" s="304"/>
      <c r="I667" s="304"/>
      <c r="J667" s="304"/>
      <c r="K667" s="304"/>
      <c r="L667" s="304"/>
      <c r="M667" s="304"/>
      <c r="N667" s="304"/>
      <c r="O667" s="304"/>
      <c r="P667" s="304"/>
      <c r="Q667" s="304"/>
      <c r="R667" s="304"/>
      <c r="S667" s="304"/>
      <c r="T667" s="304"/>
      <c r="U667" s="304"/>
      <c r="V667" s="304"/>
      <c r="W667" s="304"/>
      <c r="X667" s="304"/>
      <c r="Y667" s="304"/>
      <c r="Z667" s="304"/>
    </row>
    <row r="668" spans="1:26" x14ac:dyDescent="0.2">
      <c r="A668" s="304"/>
      <c r="B668" s="304"/>
      <c r="C668" s="304"/>
      <c r="D668" s="304"/>
      <c r="E668" s="304"/>
      <c r="F668" s="304"/>
      <c r="G668" s="304"/>
      <c r="H668" s="304"/>
      <c r="I668" s="304"/>
      <c r="J668" s="304"/>
      <c r="K668" s="304"/>
      <c r="L668" s="304"/>
      <c r="M668" s="304"/>
      <c r="N668" s="304"/>
      <c r="O668" s="304"/>
      <c r="P668" s="304"/>
      <c r="Q668" s="304"/>
      <c r="R668" s="304"/>
      <c r="S668" s="304"/>
      <c r="T668" s="304"/>
      <c r="U668" s="304"/>
      <c r="V668" s="304"/>
      <c r="W668" s="304"/>
      <c r="X668" s="304"/>
      <c r="Y668" s="304"/>
      <c r="Z668" s="304"/>
    </row>
    <row r="669" spans="1:26" x14ac:dyDescent="0.2">
      <c r="A669" s="304"/>
      <c r="B669" s="304"/>
      <c r="C669" s="304"/>
      <c r="D669" s="304"/>
      <c r="E669" s="304"/>
      <c r="F669" s="304"/>
      <c r="G669" s="304"/>
      <c r="H669" s="304"/>
      <c r="I669" s="304"/>
      <c r="J669" s="304"/>
      <c r="K669" s="304"/>
      <c r="L669" s="304"/>
      <c r="M669" s="304"/>
      <c r="N669" s="304"/>
      <c r="O669" s="304"/>
      <c r="P669" s="304"/>
      <c r="Q669" s="304"/>
      <c r="R669" s="304"/>
      <c r="S669" s="304"/>
      <c r="T669" s="304"/>
      <c r="U669" s="304"/>
      <c r="V669" s="304"/>
      <c r="W669" s="304"/>
      <c r="X669" s="304"/>
      <c r="Y669" s="304"/>
      <c r="Z669" s="304"/>
    </row>
    <row r="670" spans="1:26" x14ac:dyDescent="0.2">
      <c r="A670" s="304"/>
      <c r="B670" s="304"/>
      <c r="C670" s="304"/>
      <c r="D670" s="304"/>
      <c r="E670" s="304"/>
      <c r="F670" s="304"/>
      <c r="G670" s="304"/>
      <c r="H670" s="304"/>
      <c r="I670" s="304"/>
      <c r="J670" s="304"/>
      <c r="K670" s="304"/>
      <c r="L670" s="304"/>
      <c r="M670" s="304"/>
      <c r="N670" s="304"/>
      <c r="O670" s="304"/>
      <c r="P670" s="304"/>
      <c r="Q670" s="304"/>
      <c r="R670" s="304"/>
      <c r="S670" s="304"/>
      <c r="T670" s="304"/>
      <c r="U670" s="304"/>
      <c r="V670" s="304"/>
      <c r="W670" s="304"/>
      <c r="X670" s="304"/>
      <c r="Y670" s="304"/>
      <c r="Z670" s="304"/>
    </row>
    <row r="671" spans="1:26" x14ac:dyDescent="0.2">
      <c r="A671" s="304"/>
      <c r="B671" s="304"/>
      <c r="C671" s="304"/>
      <c r="D671" s="304"/>
      <c r="E671" s="304"/>
      <c r="F671" s="304"/>
      <c r="G671" s="304"/>
      <c r="H671" s="304"/>
      <c r="I671" s="304"/>
      <c r="J671" s="304"/>
      <c r="K671" s="304"/>
      <c r="L671" s="304"/>
      <c r="M671" s="304"/>
      <c r="N671" s="304"/>
      <c r="O671" s="304"/>
      <c r="P671" s="304"/>
      <c r="Q671" s="304"/>
      <c r="R671" s="304"/>
      <c r="S671" s="304"/>
      <c r="T671" s="304"/>
      <c r="U671" s="304"/>
      <c r="V671" s="304"/>
      <c r="W671" s="304"/>
      <c r="X671" s="304"/>
      <c r="Y671" s="304"/>
      <c r="Z671" s="304"/>
    </row>
    <row r="672" spans="1:26" x14ac:dyDescent="0.2">
      <c r="A672" s="304"/>
      <c r="B672" s="304"/>
      <c r="C672" s="304"/>
      <c r="D672" s="304"/>
      <c r="E672" s="304"/>
      <c r="F672" s="304"/>
      <c r="G672" s="304"/>
      <c r="H672" s="304"/>
      <c r="I672" s="304"/>
      <c r="J672" s="304"/>
      <c r="K672" s="304"/>
      <c r="L672" s="304"/>
      <c r="M672" s="304"/>
      <c r="N672" s="304"/>
      <c r="O672" s="304"/>
      <c r="P672" s="304"/>
      <c r="Q672" s="304"/>
      <c r="R672" s="304"/>
      <c r="S672" s="304"/>
      <c r="T672" s="304"/>
      <c r="U672" s="304"/>
      <c r="V672" s="304"/>
      <c r="W672" s="304"/>
      <c r="X672" s="304"/>
      <c r="Y672" s="304"/>
      <c r="Z672" s="304"/>
    </row>
    <row r="673" spans="1:26" x14ac:dyDescent="0.2">
      <c r="A673" s="304"/>
      <c r="B673" s="304"/>
      <c r="C673" s="304"/>
      <c r="D673" s="304"/>
      <c r="E673" s="304"/>
      <c r="F673" s="304"/>
      <c r="G673" s="304"/>
      <c r="H673" s="304"/>
      <c r="I673" s="304"/>
      <c r="J673" s="304"/>
      <c r="K673" s="304"/>
      <c r="L673" s="304"/>
      <c r="M673" s="304"/>
      <c r="N673" s="304"/>
      <c r="O673" s="304"/>
      <c r="P673" s="304"/>
      <c r="Q673" s="304"/>
      <c r="R673" s="304"/>
      <c r="S673" s="304"/>
      <c r="T673" s="304"/>
      <c r="U673" s="304"/>
      <c r="V673" s="304"/>
      <c r="W673" s="304"/>
      <c r="X673" s="304"/>
      <c r="Y673" s="304"/>
      <c r="Z673" s="304"/>
    </row>
    <row r="674" spans="1:26" x14ac:dyDescent="0.2">
      <c r="A674" s="304"/>
      <c r="B674" s="304"/>
      <c r="C674" s="304"/>
      <c r="D674" s="304"/>
      <c r="E674" s="304"/>
      <c r="F674" s="304"/>
      <c r="G674" s="304"/>
      <c r="H674" s="304"/>
      <c r="I674" s="304"/>
      <c r="J674" s="304"/>
      <c r="K674" s="304"/>
      <c r="L674" s="304"/>
      <c r="M674" s="304"/>
      <c r="N674" s="304"/>
      <c r="O674" s="304"/>
      <c r="P674" s="304"/>
      <c r="Q674" s="304"/>
      <c r="R674" s="304"/>
      <c r="S674" s="304"/>
      <c r="T674" s="304"/>
      <c r="U674" s="304"/>
      <c r="V674" s="304"/>
      <c r="W674" s="304"/>
      <c r="X674" s="304"/>
      <c r="Y674" s="304"/>
      <c r="Z674" s="304"/>
    </row>
    <row r="675" spans="1:26" x14ac:dyDescent="0.2">
      <c r="A675" s="304"/>
      <c r="B675" s="304"/>
      <c r="C675" s="304"/>
      <c r="D675" s="304"/>
      <c r="E675" s="304"/>
      <c r="F675" s="304"/>
      <c r="G675" s="304"/>
      <c r="H675" s="304"/>
      <c r="I675" s="304"/>
      <c r="J675" s="304"/>
      <c r="K675" s="304"/>
      <c r="L675" s="304"/>
      <c r="M675" s="304"/>
      <c r="N675" s="304"/>
      <c r="O675" s="304"/>
      <c r="P675" s="304"/>
      <c r="Q675" s="304"/>
      <c r="R675" s="304"/>
      <c r="S675" s="304"/>
      <c r="T675" s="304"/>
      <c r="U675" s="304"/>
      <c r="V675" s="304"/>
      <c r="W675" s="304"/>
      <c r="X675" s="304"/>
      <c r="Y675" s="304"/>
      <c r="Z675" s="304"/>
    </row>
    <row r="676" spans="1:26" x14ac:dyDescent="0.2">
      <c r="A676" s="304"/>
      <c r="B676" s="304"/>
      <c r="C676" s="304"/>
      <c r="D676" s="304"/>
      <c r="E676" s="304"/>
      <c r="F676" s="304"/>
      <c r="G676" s="304"/>
      <c r="H676" s="304"/>
      <c r="I676" s="304"/>
      <c r="J676" s="304"/>
      <c r="K676" s="304"/>
      <c r="L676" s="304"/>
      <c r="M676" s="304"/>
      <c r="N676" s="304"/>
      <c r="O676" s="304"/>
      <c r="P676" s="304"/>
      <c r="Q676" s="304"/>
      <c r="R676" s="304"/>
      <c r="S676" s="304"/>
      <c r="T676" s="304"/>
      <c r="U676" s="304"/>
      <c r="V676" s="304"/>
      <c r="W676" s="304"/>
      <c r="X676" s="304"/>
      <c r="Y676" s="304"/>
      <c r="Z676" s="304"/>
    </row>
    <row r="677" spans="1:26" x14ac:dyDescent="0.2">
      <c r="A677" s="304"/>
      <c r="B677" s="304"/>
      <c r="C677" s="304"/>
      <c r="D677" s="304"/>
      <c r="E677" s="304"/>
      <c r="F677" s="304"/>
      <c r="G677" s="304"/>
      <c r="H677" s="304"/>
      <c r="I677" s="304"/>
      <c r="J677" s="304"/>
      <c r="K677" s="304"/>
      <c r="L677" s="304"/>
      <c r="M677" s="304"/>
      <c r="N677" s="304"/>
      <c r="O677" s="304"/>
      <c r="P677" s="304"/>
      <c r="Q677" s="304"/>
      <c r="R677" s="304"/>
      <c r="S677" s="304"/>
      <c r="T677" s="304"/>
      <c r="U677" s="304"/>
      <c r="V677" s="304"/>
      <c r="W677" s="304"/>
      <c r="X677" s="304"/>
      <c r="Y677" s="304"/>
      <c r="Z677" s="304"/>
    </row>
    <row r="678" spans="1:26" x14ac:dyDescent="0.2">
      <c r="A678" s="304"/>
      <c r="B678" s="304"/>
      <c r="C678" s="304"/>
      <c r="D678" s="304"/>
      <c r="E678" s="304"/>
      <c r="F678" s="304"/>
      <c r="G678" s="304"/>
      <c r="H678" s="304"/>
      <c r="I678" s="304"/>
      <c r="J678" s="304"/>
      <c r="K678" s="304"/>
      <c r="L678" s="304"/>
      <c r="M678" s="304"/>
      <c r="N678" s="304"/>
      <c r="O678" s="304"/>
      <c r="P678" s="304"/>
      <c r="Q678" s="304"/>
      <c r="R678" s="304"/>
      <c r="S678" s="304"/>
      <c r="T678" s="304"/>
      <c r="U678" s="304"/>
      <c r="V678" s="304"/>
      <c r="W678" s="304"/>
      <c r="X678" s="304"/>
      <c r="Y678" s="304"/>
      <c r="Z678" s="304"/>
    </row>
    <row r="679" spans="1:26" x14ac:dyDescent="0.2">
      <c r="A679" s="304"/>
      <c r="B679" s="304"/>
      <c r="C679" s="304"/>
      <c r="D679" s="304"/>
      <c r="E679" s="304"/>
      <c r="F679" s="304"/>
      <c r="G679" s="304"/>
      <c r="H679" s="304"/>
      <c r="I679" s="304"/>
      <c r="J679" s="304"/>
      <c r="K679" s="304"/>
      <c r="L679" s="304"/>
      <c r="M679" s="304"/>
      <c r="N679" s="304"/>
      <c r="O679" s="304"/>
      <c r="P679" s="304"/>
      <c r="Q679" s="304"/>
      <c r="R679" s="304"/>
      <c r="S679" s="304"/>
      <c r="T679" s="304"/>
      <c r="U679" s="304"/>
      <c r="V679" s="304"/>
      <c r="W679" s="304"/>
      <c r="X679" s="304"/>
      <c r="Y679" s="304"/>
      <c r="Z679" s="304"/>
    </row>
    <row r="680" spans="1:26" x14ac:dyDescent="0.2">
      <c r="A680" s="304"/>
      <c r="B680" s="304"/>
      <c r="C680" s="304"/>
      <c r="D680" s="304"/>
      <c r="E680" s="304"/>
      <c r="F680" s="304"/>
      <c r="G680" s="304"/>
      <c r="H680" s="304"/>
      <c r="I680" s="304"/>
      <c r="J680" s="304"/>
      <c r="K680" s="304"/>
      <c r="L680" s="304"/>
      <c r="M680" s="304"/>
      <c r="N680" s="304"/>
      <c r="O680" s="304"/>
      <c r="P680" s="304"/>
      <c r="Q680" s="304"/>
      <c r="R680" s="304"/>
      <c r="S680" s="304"/>
      <c r="T680" s="304"/>
      <c r="U680" s="304"/>
      <c r="V680" s="304"/>
      <c r="W680" s="304"/>
      <c r="X680" s="304"/>
      <c r="Y680" s="304"/>
      <c r="Z680" s="304"/>
    </row>
    <row r="681" spans="1:26" x14ac:dyDescent="0.2">
      <c r="A681" s="304"/>
      <c r="B681" s="304"/>
      <c r="C681" s="304"/>
      <c r="D681" s="304"/>
      <c r="E681" s="304"/>
      <c r="F681" s="304"/>
      <c r="G681" s="304"/>
      <c r="H681" s="304"/>
      <c r="I681" s="304"/>
      <c r="J681" s="304"/>
      <c r="K681" s="304"/>
      <c r="L681" s="304"/>
      <c r="M681" s="304"/>
      <c r="N681" s="304"/>
      <c r="O681" s="304"/>
      <c r="P681" s="304"/>
      <c r="Q681" s="304"/>
      <c r="R681" s="304"/>
      <c r="S681" s="304"/>
      <c r="T681" s="304"/>
      <c r="U681" s="304"/>
      <c r="V681" s="304"/>
      <c r="W681" s="304"/>
      <c r="X681" s="304"/>
      <c r="Y681" s="304"/>
      <c r="Z681" s="304"/>
    </row>
    <row r="682" spans="1:26" x14ac:dyDescent="0.2">
      <c r="A682" s="304"/>
      <c r="B682" s="304"/>
      <c r="C682" s="304"/>
      <c r="D682" s="304"/>
      <c r="E682" s="304"/>
      <c r="F682" s="304"/>
      <c r="G682" s="304"/>
      <c r="H682" s="304"/>
      <c r="I682" s="304"/>
      <c r="J682" s="304"/>
      <c r="K682" s="304"/>
      <c r="L682" s="304"/>
      <c r="M682" s="304"/>
      <c r="N682" s="304"/>
      <c r="O682" s="304"/>
      <c r="P682" s="304"/>
      <c r="Q682" s="304"/>
      <c r="R682" s="304"/>
      <c r="S682" s="304"/>
      <c r="T682" s="304"/>
      <c r="U682" s="304"/>
      <c r="V682" s="304"/>
      <c r="W682" s="304"/>
      <c r="X682" s="304"/>
      <c r="Y682" s="304"/>
      <c r="Z682" s="304"/>
    </row>
    <row r="683" spans="1:26" x14ac:dyDescent="0.2">
      <c r="A683" s="304"/>
      <c r="B683" s="304"/>
      <c r="C683" s="304"/>
      <c r="D683" s="304"/>
      <c r="E683" s="304"/>
      <c r="F683" s="304"/>
      <c r="G683" s="304"/>
      <c r="H683" s="304"/>
      <c r="I683" s="304"/>
      <c r="J683" s="304"/>
      <c r="K683" s="304"/>
      <c r="L683" s="304"/>
      <c r="M683" s="304"/>
      <c r="N683" s="304"/>
      <c r="O683" s="304"/>
      <c r="P683" s="304"/>
      <c r="Q683" s="304"/>
      <c r="R683" s="304"/>
      <c r="S683" s="304"/>
      <c r="T683" s="304"/>
      <c r="U683" s="304"/>
      <c r="V683" s="304"/>
      <c r="W683" s="304"/>
      <c r="X683" s="304"/>
      <c r="Y683" s="304"/>
      <c r="Z683" s="304"/>
    </row>
    <row r="684" spans="1:26" x14ac:dyDescent="0.2">
      <c r="A684" s="304"/>
      <c r="B684" s="304"/>
      <c r="C684" s="304"/>
      <c r="D684" s="304"/>
      <c r="E684" s="304"/>
      <c r="F684" s="304"/>
      <c r="G684" s="304"/>
      <c r="H684" s="304"/>
      <c r="I684" s="304"/>
      <c r="J684" s="304"/>
      <c r="K684" s="304"/>
      <c r="L684" s="304"/>
      <c r="M684" s="304"/>
      <c r="N684" s="304"/>
      <c r="O684" s="304"/>
      <c r="P684" s="304"/>
      <c r="Q684" s="304"/>
      <c r="R684" s="304"/>
      <c r="S684" s="304"/>
      <c r="T684" s="304"/>
      <c r="U684" s="304"/>
      <c r="V684" s="304"/>
      <c r="W684" s="304"/>
      <c r="X684" s="304"/>
      <c r="Y684" s="304"/>
      <c r="Z684" s="304"/>
    </row>
    <row r="685" spans="1:26" x14ac:dyDescent="0.2">
      <c r="A685" s="304"/>
      <c r="B685" s="304"/>
      <c r="C685" s="304"/>
      <c r="D685" s="304"/>
      <c r="E685" s="304"/>
      <c r="F685" s="304"/>
      <c r="G685" s="304"/>
      <c r="H685" s="304"/>
      <c r="I685" s="304"/>
      <c r="J685" s="304"/>
      <c r="K685" s="304"/>
      <c r="L685" s="304"/>
      <c r="M685" s="304"/>
      <c r="N685" s="304"/>
      <c r="O685" s="304"/>
      <c r="P685" s="304"/>
      <c r="Q685" s="304"/>
      <c r="R685" s="304"/>
      <c r="S685" s="304"/>
      <c r="T685" s="304"/>
      <c r="U685" s="304"/>
      <c r="V685" s="304"/>
      <c r="W685" s="304"/>
      <c r="X685" s="304"/>
      <c r="Y685" s="304"/>
      <c r="Z685" s="304"/>
    </row>
    <row r="686" spans="1:26" x14ac:dyDescent="0.2">
      <c r="A686" s="304"/>
      <c r="B686" s="304"/>
      <c r="C686" s="304"/>
      <c r="D686" s="304"/>
      <c r="E686" s="304"/>
      <c r="F686" s="304"/>
      <c r="G686" s="304"/>
      <c r="H686" s="304"/>
      <c r="I686" s="304"/>
      <c r="J686" s="304"/>
      <c r="K686" s="304"/>
      <c r="L686" s="304"/>
      <c r="M686" s="304"/>
      <c r="N686" s="304"/>
      <c r="O686" s="304"/>
      <c r="P686" s="304"/>
      <c r="Q686" s="304"/>
      <c r="R686" s="304"/>
      <c r="S686" s="304"/>
      <c r="T686" s="304"/>
      <c r="U686" s="304"/>
      <c r="V686" s="304"/>
      <c r="W686" s="304"/>
      <c r="X686" s="304"/>
      <c r="Y686" s="304"/>
      <c r="Z686" s="304"/>
    </row>
    <row r="687" spans="1:26" x14ac:dyDescent="0.2">
      <c r="A687" s="304"/>
      <c r="B687" s="304"/>
      <c r="C687" s="304"/>
      <c r="D687" s="304"/>
      <c r="E687" s="304"/>
      <c r="F687" s="304"/>
      <c r="G687" s="304"/>
      <c r="H687" s="304"/>
      <c r="I687" s="304"/>
      <c r="J687" s="304"/>
      <c r="K687" s="304"/>
      <c r="L687" s="304"/>
      <c r="M687" s="304"/>
      <c r="N687" s="304"/>
      <c r="O687" s="304"/>
      <c r="P687" s="304"/>
      <c r="Q687" s="304"/>
      <c r="R687" s="304"/>
      <c r="S687" s="304"/>
      <c r="T687" s="304"/>
      <c r="U687" s="304"/>
      <c r="V687" s="304"/>
      <c r="W687" s="304"/>
      <c r="X687" s="304"/>
      <c r="Y687" s="304"/>
      <c r="Z687" s="304"/>
    </row>
    <row r="688" spans="1:26" x14ac:dyDescent="0.2">
      <c r="A688" s="304"/>
      <c r="B688" s="304"/>
      <c r="C688" s="304"/>
      <c r="D688" s="304"/>
      <c r="E688" s="304"/>
      <c r="F688" s="304"/>
      <c r="G688" s="304"/>
      <c r="H688" s="304"/>
      <c r="I688" s="304"/>
      <c r="J688" s="304"/>
      <c r="K688" s="304"/>
      <c r="L688" s="304"/>
      <c r="M688" s="304"/>
      <c r="N688" s="304"/>
      <c r="O688" s="304"/>
      <c r="P688" s="304"/>
      <c r="Q688" s="304"/>
      <c r="R688" s="304"/>
      <c r="S688" s="304"/>
      <c r="T688" s="304"/>
      <c r="U688" s="304"/>
      <c r="V688" s="304"/>
      <c r="W688" s="304"/>
      <c r="X688" s="304"/>
      <c r="Y688" s="304"/>
      <c r="Z688" s="304"/>
    </row>
    <row r="689" spans="1:26" x14ac:dyDescent="0.2">
      <c r="A689" s="304"/>
      <c r="B689" s="304"/>
      <c r="C689" s="304"/>
      <c r="D689" s="304"/>
      <c r="E689" s="304"/>
      <c r="F689" s="304"/>
      <c r="G689" s="304"/>
      <c r="H689" s="304"/>
      <c r="I689" s="304"/>
      <c r="J689" s="304"/>
      <c r="K689" s="304"/>
      <c r="L689" s="304"/>
      <c r="M689" s="304"/>
      <c r="N689" s="304"/>
      <c r="O689" s="304"/>
      <c r="P689" s="304"/>
      <c r="Q689" s="304"/>
      <c r="R689" s="304"/>
      <c r="S689" s="304"/>
      <c r="T689" s="304"/>
      <c r="U689" s="304"/>
      <c r="V689" s="304"/>
      <c r="W689" s="304"/>
      <c r="X689" s="304"/>
      <c r="Y689" s="304"/>
      <c r="Z689" s="304"/>
    </row>
    <row r="690" spans="1:26" x14ac:dyDescent="0.2">
      <c r="A690" s="304"/>
      <c r="B690" s="304"/>
      <c r="C690" s="304"/>
      <c r="D690" s="304"/>
      <c r="E690" s="304"/>
      <c r="F690" s="304"/>
      <c r="G690" s="304"/>
      <c r="H690" s="304"/>
      <c r="I690" s="304"/>
      <c r="J690" s="304"/>
      <c r="K690" s="304"/>
      <c r="L690" s="304"/>
      <c r="M690" s="304"/>
      <c r="N690" s="304"/>
      <c r="O690" s="304"/>
      <c r="P690" s="304"/>
      <c r="Q690" s="304"/>
      <c r="R690" s="304"/>
      <c r="S690" s="304"/>
      <c r="T690" s="304"/>
      <c r="U690" s="304"/>
      <c r="V690" s="304"/>
      <c r="W690" s="304"/>
      <c r="X690" s="304"/>
      <c r="Y690" s="304"/>
      <c r="Z690" s="304"/>
    </row>
    <row r="691" spans="1:26" x14ac:dyDescent="0.2">
      <c r="A691" s="304"/>
      <c r="B691" s="304"/>
      <c r="C691" s="304"/>
      <c r="D691" s="304"/>
      <c r="E691" s="304"/>
      <c r="F691" s="304"/>
      <c r="G691" s="304"/>
      <c r="H691" s="304"/>
      <c r="I691" s="304"/>
      <c r="J691" s="304"/>
      <c r="K691" s="304"/>
      <c r="L691" s="304"/>
      <c r="M691" s="304"/>
      <c r="N691" s="304"/>
      <c r="O691" s="304"/>
      <c r="P691" s="304"/>
      <c r="Q691" s="304"/>
      <c r="R691" s="304"/>
      <c r="S691" s="304"/>
      <c r="T691" s="304"/>
      <c r="U691" s="304"/>
      <c r="V691" s="304"/>
      <c r="W691" s="304"/>
      <c r="X691" s="304"/>
      <c r="Y691" s="304"/>
      <c r="Z691" s="304"/>
    </row>
    <row r="692" spans="1:26" x14ac:dyDescent="0.2">
      <c r="A692" s="304"/>
      <c r="B692" s="304"/>
      <c r="C692" s="304"/>
      <c r="D692" s="304"/>
      <c r="E692" s="304"/>
      <c r="F692" s="304"/>
      <c r="G692" s="304"/>
      <c r="H692" s="304"/>
      <c r="I692" s="304"/>
      <c r="J692" s="304"/>
      <c r="K692" s="304"/>
      <c r="L692" s="304"/>
      <c r="M692" s="304"/>
      <c r="N692" s="304"/>
      <c r="O692" s="304"/>
      <c r="P692" s="304"/>
      <c r="Q692" s="304"/>
      <c r="R692" s="304"/>
      <c r="S692" s="304"/>
      <c r="T692" s="304"/>
      <c r="U692" s="304"/>
      <c r="V692" s="304"/>
      <c r="W692" s="304"/>
      <c r="X692" s="304"/>
      <c r="Y692" s="304"/>
      <c r="Z692" s="304"/>
    </row>
    <row r="693" spans="1:26" x14ac:dyDescent="0.2">
      <c r="A693" s="304"/>
      <c r="B693" s="304"/>
      <c r="C693" s="304"/>
      <c r="D693" s="304"/>
      <c r="E693" s="304"/>
      <c r="F693" s="304"/>
      <c r="G693" s="304"/>
      <c r="H693" s="304"/>
      <c r="I693" s="304"/>
      <c r="J693" s="304"/>
      <c r="K693" s="304"/>
      <c r="L693" s="304"/>
      <c r="M693" s="304"/>
      <c r="N693" s="304"/>
      <c r="O693" s="304"/>
      <c r="P693" s="304"/>
      <c r="Q693" s="304"/>
      <c r="R693" s="304"/>
      <c r="S693" s="304"/>
      <c r="T693" s="304"/>
      <c r="U693" s="304"/>
      <c r="V693" s="304"/>
      <c r="W693" s="304"/>
      <c r="X693" s="304"/>
      <c r="Y693" s="304"/>
      <c r="Z693" s="304"/>
    </row>
    <row r="694" spans="1:26" x14ac:dyDescent="0.2">
      <c r="A694" s="304"/>
      <c r="B694" s="304"/>
      <c r="C694" s="304"/>
      <c r="D694" s="304"/>
      <c r="E694" s="304"/>
      <c r="F694" s="304"/>
      <c r="G694" s="304"/>
      <c r="H694" s="304"/>
      <c r="I694" s="304"/>
      <c r="J694" s="304"/>
      <c r="K694" s="304"/>
      <c r="L694" s="304"/>
      <c r="M694" s="304"/>
      <c r="N694" s="304"/>
      <c r="O694" s="304"/>
      <c r="P694" s="304"/>
      <c r="Q694" s="304"/>
      <c r="R694" s="304"/>
      <c r="S694" s="304"/>
      <c r="T694" s="304"/>
      <c r="U694" s="304"/>
      <c r="V694" s="304"/>
      <c r="W694" s="304"/>
      <c r="X694" s="304"/>
      <c r="Y694" s="304"/>
      <c r="Z694" s="304"/>
    </row>
    <row r="695" spans="1:26" x14ac:dyDescent="0.2">
      <c r="A695" s="304"/>
      <c r="B695" s="304"/>
      <c r="C695" s="304"/>
      <c r="D695" s="304"/>
      <c r="E695" s="304"/>
      <c r="F695" s="304"/>
      <c r="G695" s="304"/>
      <c r="H695" s="304"/>
      <c r="I695" s="304"/>
      <c r="J695" s="304"/>
      <c r="K695" s="304"/>
      <c r="L695" s="304"/>
      <c r="M695" s="304"/>
      <c r="N695" s="304"/>
      <c r="O695" s="304"/>
      <c r="P695" s="304"/>
      <c r="Q695" s="304"/>
      <c r="R695" s="304"/>
      <c r="S695" s="304"/>
      <c r="T695" s="304"/>
      <c r="U695" s="304"/>
      <c r="V695" s="304"/>
      <c r="W695" s="304"/>
      <c r="X695" s="304"/>
      <c r="Y695" s="304"/>
      <c r="Z695" s="304"/>
    </row>
    <row r="696" spans="1:26" x14ac:dyDescent="0.2">
      <c r="A696" s="304"/>
      <c r="B696" s="304"/>
      <c r="C696" s="304"/>
      <c r="D696" s="304"/>
      <c r="E696" s="304"/>
      <c r="F696" s="304"/>
      <c r="G696" s="304"/>
      <c r="H696" s="304"/>
      <c r="I696" s="304"/>
      <c r="J696" s="304"/>
      <c r="K696" s="304"/>
      <c r="L696" s="304"/>
      <c r="M696" s="304"/>
      <c r="N696" s="304"/>
      <c r="O696" s="304"/>
      <c r="P696" s="304"/>
      <c r="Q696" s="304"/>
      <c r="R696" s="304"/>
      <c r="S696" s="304"/>
      <c r="T696" s="304"/>
      <c r="U696" s="304"/>
      <c r="V696" s="304"/>
      <c r="W696" s="304"/>
      <c r="X696" s="304"/>
      <c r="Y696" s="304"/>
      <c r="Z696" s="304"/>
    </row>
    <row r="697" spans="1:26" x14ac:dyDescent="0.2">
      <c r="A697" s="304"/>
      <c r="B697" s="304"/>
      <c r="C697" s="304"/>
      <c r="D697" s="304"/>
      <c r="E697" s="304"/>
      <c r="F697" s="304"/>
      <c r="G697" s="304"/>
      <c r="H697" s="304"/>
      <c r="I697" s="304"/>
      <c r="J697" s="304"/>
      <c r="K697" s="304"/>
      <c r="L697" s="304"/>
      <c r="M697" s="304"/>
      <c r="N697" s="304"/>
      <c r="O697" s="304"/>
      <c r="P697" s="304"/>
      <c r="Q697" s="304"/>
      <c r="R697" s="304"/>
      <c r="S697" s="304"/>
      <c r="T697" s="304"/>
      <c r="U697" s="304"/>
      <c r="V697" s="304"/>
      <c r="W697" s="304"/>
      <c r="X697" s="304"/>
      <c r="Y697" s="304"/>
      <c r="Z697" s="304"/>
    </row>
    <row r="698" spans="1:26" x14ac:dyDescent="0.2">
      <c r="A698" s="304"/>
      <c r="B698" s="304"/>
      <c r="C698" s="304"/>
      <c r="D698" s="304"/>
      <c r="E698" s="304"/>
      <c r="F698" s="304"/>
      <c r="G698" s="304"/>
      <c r="H698" s="304"/>
      <c r="I698" s="304"/>
      <c r="J698" s="304"/>
      <c r="K698" s="304"/>
      <c r="L698" s="304"/>
      <c r="M698" s="304"/>
      <c r="N698" s="304"/>
      <c r="O698" s="304"/>
      <c r="P698" s="304"/>
      <c r="Q698" s="304"/>
      <c r="R698" s="304"/>
      <c r="S698" s="304"/>
      <c r="T698" s="304"/>
      <c r="U698" s="304"/>
      <c r="V698" s="304"/>
      <c r="W698" s="304"/>
      <c r="X698" s="304"/>
      <c r="Y698" s="304"/>
      <c r="Z698" s="304"/>
    </row>
    <row r="699" spans="1:26" x14ac:dyDescent="0.2">
      <c r="A699" s="304"/>
      <c r="B699" s="304"/>
      <c r="C699" s="304"/>
      <c r="D699" s="304"/>
      <c r="E699" s="304"/>
      <c r="F699" s="304"/>
      <c r="G699" s="304"/>
      <c r="H699" s="304"/>
      <c r="I699" s="304"/>
      <c r="J699" s="304"/>
      <c r="K699" s="304"/>
      <c r="L699" s="304"/>
      <c r="M699" s="304"/>
      <c r="N699" s="304"/>
      <c r="O699" s="304"/>
      <c r="P699" s="304"/>
      <c r="Q699" s="304"/>
      <c r="R699" s="304"/>
      <c r="S699" s="304"/>
      <c r="T699" s="304"/>
      <c r="U699" s="304"/>
      <c r="V699" s="304"/>
      <c r="W699" s="304"/>
      <c r="X699" s="304"/>
      <c r="Y699" s="304"/>
      <c r="Z699" s="304"/>
    </row>
    <row r="700" spans="1:26" x14ac:dyDescent="0.2">
      <c r="A700" s="304"/>
      <c r="B700" s="304"/>
      <c r="C700" s="304"/>
      <c r="D700" s="304"/>
      <c r="E700" s="304"/>
      <c r="F700" s="304"/>
      <c r="G700" s="304"/>
      <c r="H700" s="304"/>
      <c r="I700" s="304"/>
      <c r="J700" s="304"/>
      <c r="K700" s="304"/>
      <c r="L700" s="304"/>
      <c r="M700" s="304"/>
      <c r="N700" s="304"/>
      <c r="O700" s="304"/>
      <c r="P700" s="304"/>
      <c r="Q700" s="304"/>
      <c r="R700" s="304"/>
      <c r="S700" s="304"/>
      <c r="T700" s="304"/>
      <c r="U700" s="304"/>
      <c r="V700" s="304"/>
      <c r="W700" s="304"/>
      <c r="X700" s="304"/>
      <c r="Y700" s="304"/>
      <c r="Z700" s="304"/>
    </row>
    <row r="701" spans="1:26" x14ac:dyDescent="0.2">
      <c r="A701" s="304"/>
      <c r="B701" s="304"/>
      <c r="C701" s="304"/>
      <c r="D701" s="304"/>
      <c r="E701" s="304"/>
      <c r="F701" s="304"/>
      <c r="G701" s="304"/>
      <c r="H701" s="304"/>
      <c r="I701" s="304"/>
      <c r="J701" s="304"/>
      <c r="K701" s="304"/>
      <c r="L701" s="304"/>
      <c r="M701" s="304"/>
      <c r="N701" s="304"/>
      <c r="O701" s="304"/>
      <c r="P701" s="304"/>
      <c r="Q701" s="304"/>
      <c r="R701" s="304"/>
      <c r="S701" s="304"/>
      <c r="T701" s="304"/>
      <c r="U701" s="304"/>
      <c r="V701" s="304"/>
      <c r="W701" s="304"/>
      <c r="X701" s="304"/>
      <c r="Y701" s="304"/>
      <c r="Z701" s="304"/>
    </row>
    <row r="702" spans="1:26" x14ac:dyDescent="0.2">
      <c r="A702" s="304"/>
      <c r="B702" s="304"/>
      <c r="C702" s="304"/>
      <c r="D702" s="304"/>
      <c r="E702" s="304"/>
      <c r="F702" s="304"/>
      <c r="G702" s="304"/>
      <c r="H702" s="304"/>
      <c r="I702" s="304"/>
      <c r="J702" s="304"/>
      <c r="K702" s="304"/>
      <c r="L702" s="304"/>
      <c r="M702" s="304"/>
      <c r="N702" s="304"/>
      <c r="O702" s="304"/>
      <c r="P702" s="304"/>
      <c r="Q702" s="304"/>
      <c r="R702" s="304"/>
      <c r="S702" s="304"/>
      <c r="T702" s="304"/>
      <c r="U702" s="304"/>
      <c r="V702" s="304"/>
      <c r="W702" s="304"/>
      <c r="X702" s="304"/>
      <c r="Y702" s="304"/>
      <c r="Z702" s="304"/>
    </row>
    <row r="703" spans="1:26" x14ac:dyDescent="0.2">
      <c r="A703" s="304"/>
      <c r="B703" s="304"/>
      <c r="C703" s="304"/>
      <c r="D703" s="304"/>
      <c r="E703" s="304"/>
      <c r="F703" s="304"/>
      <c r="G703" s="304"/>
      <c r="H703" s="304"/>
      <c r="I703" s="304"/>
      <c r="J703" s="304"/>
      <c r="K703" s="304"/>
      <c r="L703" s="304"/>
      <c r="M703" s="304"/>
      <c r="N703" s="304"/>
      <c r="O703" s="304"/>
      <c r="P703" s="304"/>
      <c r="Q703" s="304"/>
      <c r="R703" s="304"/>
      <c r="S703" s="304"/>
      <c r="T703" s="304"/>
      <c r="U703" s="304"/>
      <c r="V703" s="304"/>
      <c r="W703" s="304"/>
      <c r="X703" s="304"/>
      <c r="Y703" s="304"/>
      <c r="Z703" s="304"/>
    </row>
    <row r="704" spans="1:26" x14ac:dyDescent="0.2">
      <c r="A704" s="304"/>
      <c r="B704" s="304"/>
      <c r="C704" s="304"/>
      <c r="D704" s="304"/>
      <c r="E704" s="304"/>
      <c r="F704" s="304"/>
      <c r="G704" s="304"/>
      <c r="H704" s="304"/>
      <c r="I704" s="304"/>
      <c r="J704" s="304"/>
      <c r="K704" s="304"/>
      <c r="L704" s="304"/>
      <c r="M704" s="304"/>
      <c r="N704" s="304"/>
      <c r="O704" s="304"/>
      <c r="P704" s="304"/>
      <c r="Q704" s="304"/>
      <c r="R704" s="304"/>
      <c r="S704" s="304"/>
      <c r="T704" s="304"/>
      <c r="U704" s="304"/>
      <c r="V704" s="304"/>
      <c r="W704" s="304"/>
      <c r="X704" s="304"/>
      <c r="Y704" s="304"/>
      <c r="Z704" s="304"/>
    </row>
    <row r="705" spans="1:26" x14ac:dyDescent="0.2">
      <c r="A705" s="304"/>
      <c r="B705" s="304"/>
      <c r="C705" s="304"/>
      <c r="D705" s="304"/>
      <c r="E705" s="304"/>
      <c r="F705" s="304"/>
      <c r="G705" s="304"/>
      <c r="H705" s="304"/>
      <c r="I705" s="304"/>
      <c r="J705" s="304"/>
      <c r="K705" s="304"/>
      <c r="L705" s="304"/>
      <c r="M705" s="304"/>
      <c r="N705" s="304"/>
      <c r="O705" s="304"/>
      <c r="P705" s="304"/>
      <c r="Q705" s="304"/>
      <c r="R705" s="304"/>
      <c r="S705" s="304"/>
      <c r="T705" s="304"/>
      <c r="U705" s="304"/>
      <c r="V705" s="304"/>
      <c r="W705" s="304"/>
      <c r="X705" s="304"/>
      <c r="Y705" s="304"/>
      <c r="Z705" s="304"/>
    </row>
    <row r="706" spans="1:26" x14ac:dyDescent="0.2">
      <c r="A706" s="304"/>
      <c r="B706" s="304"/>
      <c r="C706" s="304"/>
      <c r="D706" s="304"/>
      <c r="E706" s="304"/>
      <c r="F706" s="304"/>
      <c r="G706" s="304"/>
      <c r="H706" s="304"/>
      <c r="I706" s="304"/>
      <c r="J706" s="304"/>
      <c r="K706" s="304"/>
      <c r="L706" s="304"/>
      <c r="M706" s="304"/>
      <c r="N706" s="304"/>
      <c r="O706" s="304"/>
      <c r="P706" s="304"/>
      <c r="Q706" s="304"/>
      <c r="R706" s="304"/>
      <c r="S706" s="304"/>
      <c r="T706" s="304"/>
      <c r="U706" s="304"/>
      <c r="V706" s="304"/>
      <c r="W706" s="304"/>
      <c r="X706" s="304"/>
      <c r="Y706" s="304"/>
      <c r="Z706" s="304"/>
    </row>
    <row r="707" spans="1:26" x14ac:dyDescent="0.2">
      <c r="A707" s="304"/>
      <c r="B707" s="304"/>
      <c r="C707" s="304"/>
      <c r="D707" s="304"/>
      <c r="E707" s="304"/>
      <c r="F707" s="304"/>
      <c r="G707" s="304"/>
      <c r="H707" s="304"/>
      <c r="I707" s="304"/>
      <c r="J707" s="304"/>
      <c r="K707" s="304"/>
      <c r="L707" s="304"/>
      <c r="M707" s="304"/>
      <c r="N707" s="304"/>
      <c r="O707" s="304"/>
      <c r="P707" s="304"/>
      <c r="Q707" s="304"/>
      <c r="R707" s="304"/>
      <c r="S707" s="304"/>
      <c r="T707" s="304"/>
      <c r="U707" s="304"/>
      <c r="V707" s="304"/>
      <c r="W707" s="304"/>
      <c r="X707" s="304"/>
      <c r="Y707" s="304"/>
      <c r="Z707" s="304"/>
    </row>
    <row r="708" spans="1:26" x14ac:dyDescent="0.2">
      <c r="A708" s="304"/>
      <c r="B708" s="304"/>
      <c r="C708" s="304"/>
      <c r="D708" s="304"/>
      <c r="E708" s="304"/>
      <c r="F708" s="304"/>
      <c r="G708" s="304"/>
      <c r="H708" s="304"/>
      <c r="I708" s="304"/>
      <c r="J708" s="304"/>
      <c r="K708" s="304"/>
      <c r="L708" s="304"/>
      <c r="M708" s="304"/>
      <c r="N708" s="304"/>
      <c r="O708" s="304"/>
      <c r="P708" s="304"/>
      <c r="Q708" s="304"/>
      <c r="R708" s="304"/>
      <c r="S708" s="304"/>
      <c r="T708" s="304"/>
      <c r="U708" s="304"/>
      <c r="V708" s="304"/>
      <c r="W708" s="304"/>
      <c r="X708" s="304"/>
      <c r="Y708" s="304"/>
      <c r="Z708" s="304"/>
    </row>
    <row r="709" spans="1:26" x14ac:dyDescent="0.2">
      <c r="A709" s="304"/>
      <c r="B709" s="304"/>
      <c r="C709" s="304"/>
      <c r="D709" s="304"/>
      <c r="E709" s="304"/>
      <c r="F709" s="304"/>
      <c r="G709" s="304"/>
      <c r="H709" s="304"/>
      <c r="I709" s="304"/>
      <c r="J709" s="304"/>
      <c r="K709" s="304"/>
      <c r="L709" s="304"/>
      <c r="M709" s="304"/>
      <c r="N709" s="304"/>
      <c r="O709" s="304"/>
      <c r="P709" s="304"/>
      <c r="Q709" s="304"/>
      <c r="R709" s="304"/>
      <c r="S709" s="304"/>
      <c r="T709" s="304"/>
      <c r="U709" s="304"/>
      <c r="V709" s="304"/>
      <c r="W709" s="304"/>
      <c r="X709" s="304"/>
      <c r="Y709" s="304"/>
      <c r="Z709" s="304"/>
    </row>
    <row r="710" spans="1:26" x14ac:dyDescent="0.2">
      <c r="A710" s="304"/>
      <c r="B710" s="304"/>
      <c r="C710" s="304"/>
      <c r="D710" s="304"/>
      <c r="E710" s="304"/>
      <c r="F710" s="304"/>
      <c r="G710" s="304"/>
      <c r="H710" s="304"/>
      <c r="I710" s="304"/>
      <c r="J710" s="304"/>
      <c r="K710" s="304"/>
      <c r="L710" s="304"/>
      <c r="M710" s="304"/>
      <c r="N710" s="304"/>
      <c r="O710" s="304"/>
      <c r="P710" s="304"/>
      <c r="Q710" s="304"/>
      <c r="R710" s="304"/>
      <c r="S710" s="304"/>
      <c r="T710" s="304"/>
      <c r="U710" s="304"/>
      <c r="V710" s="304"/>
      <c r="W710" s="304"/>
      <c r="X710" s="304"/>
      <c r="Y710" s="304"/>
      <c r="Z710" s="304"/>
    </row>
    <row r="711" spans="1:26" x14ac:dyDescent="0.2">
      <c r="A711" s="304"/>
      <c r="B711" s="304"/>
      <c r="C711" s="304"/>
      <c r="D711" s="304"/>
      <c r="E711" s="304"/>
      <c r="F711" s="304"/>
      <c r="G711" s="304"/>
      <c r="H711" s="304"/>
      <c r="I711" s="304"/>
      <c r="J711" s="304"/>
      <c r="K711" s="304"/>
      <c r="L711" s="304"/>
      <c r="M711" s="304"/>
      <c r="N711" s="304"/>
      <c r="O711" s="304"/>
      <c r="P711" s="304"/>
      <c r="Q711" s="304"/>
      <c r="R711" s="304"/>
      <c r="S711" s="304"/>
      <c r="T711" s="304"/>
      <c r="U711" s="304"/>
      <c r="V711" s="304"/>
      <c r="W711" s="304"/>
      <c r="X711" s="304"/>
      <c r="Y711" s="304"/>
      <c r="Z711" s="304"/>
    </row>
    <row r="712" spans="1:26" x14ac:dyDescent="0.2">
      <c r="A712" s="304"/>
      <c r="B712" s="304"/>
      <c r="C712" s="304"/>
      <c r="D712" s="304"/>
      <c r="E712" s="304"/>
      <c r="F712" s="304"/>
      <c r="G712" s="304"/>
      <c r="H712" s="304"/>
      <c r="I712" s="304"/>
      <c r="J712" s="304"/>
      <c r="K712" s="304"/>
      <c r="L712" s="304"/>
      <c r="M712" s="304"/>
      <c r="N712" s="304"/>
      <c r="O712" s="304"/>
      <c r="P712" s="304"/>
      <c r="Q712" s="304"/>
      <c r="R712" s="304"/>
      <c r="S712" s="304"/>
      <c r="T712" s="304"/>
      <c r="U712" s="304"/>
      <c r="V712" s="304"/>
      <c r="W712" s="304"/>
      <c r="X712" s="304"/>
      <c r="Y712" s="304"/>
      <c r="Z712" s="304"/>
    </row>
    <row r="713" spans="1:26" x14ac:dyDescent="0.2">
      <c r="A713" s="304"/>
      <c r="B713" s="304"/>
      <c r="C713" s="304"/>
      <c r="D713" s="304"/>
      <c r="E713" s="304"/>
      <c r="F713" s="304"/>
      <c r="G713" s="304"/>
      <c r="H713" s="304"/>
      <c r="I713" s="304"/>
      <c r="J713" s="304"/>
      <c r="K713" s="304"/>
      <c r="L713" s="304"/>
      <c r="M713" s="304"/>
      <c r="N713" s="304"/>
      <c r="O713" s="304"/>
      <c r="P713" s="304"/>
      <c r="Q713" s="304"/>
      <c r="R713" s="304"/>
      <c r="S713" s="304"/>
      <c r="T713" s="304"/>
      <c r="U713" s="304"/>
      <c r="V713" s="304"/>
      <c r="W713" s="304"/>
      <c r="X713" s="304"/>
      <c r="Y713" s="304"/>
      <c r="Z713" s="304"/>
    </row>
    <row r="714" spans="1:26" x14ac:dyDescent="0.2">
      <c r="A714" s="304"/>
      <c r="B714" s="304"/>
      <c r="C714" s="304"/>
      <c r="D714" s="304"/>
      <c r="E714" s="304"/>
      <c r="F714" s="304"/>
      <c r="G714" s="304"/>
      <c r="H714" s="304"/>
      <c r="I714" s="304"/>
      <c r="J714" s="304"/>
      <c r="K714" s="304"/>
      <c r="L714" s="304"/>
      <c r="M714" s="304"/>
      <c r="N714" s="304"/>
      <c r="O714" s="304"/>
      <c r="P714" s="304"/>
      <c r="Q714" s="304"/>
      <c r="R714" s="304"/>
      <c r="S714" s="304"/>
      <c r="T714" s="304"/>
      <c r="U714" s="304"/>
      <c r="V714" s="304"/>
      <c r="W714" s="304"/>
      <c r="X714" s="304"/>
      <c r="Y714" s="304"/>
      <c r="Z714" s="304"/>
    </row>
    <row r="715" spans="1:26" x14ac:dyDescent="0.2">
      <c r="A715" s="304"/>
      <c r="B715" s="304"/>
      <c r="C715" s="304"/>
      <c r="D715" s="304"/>
      <c r="E715" s="304"/>
      <c r="F715" s="304"/>
      <c r="G715" s="304"/>
      <c r="H715" s="304"/>
      <c r="I715" s="304"/>
      <c r="J715" s="304"/>
      <c r="K715" s="304"/>
      <c r="L715" s="304"/>
      <c r="M715" s="304"/>
      <c r="N715" s="304"/>
      <c r="O715" s="304"/>
      <c r="P715" s="304"/>
      <c r="Q715" s="304"/>
      <c r="R715" s="304"/>
      <c r="S715" s="304"/>
      <c r="T715" s="304"/>
      <c r="U715" s="304"/>
      <c r="V715" s="304"/>
      <c r="W715" s="304"/>
      <c r="X715" s="304"/>
      <c r="Y715" s="304"/>
      <c r="Z715" s="304"/>
    </row>
    <row r="716" spans="1:26" x14ac:dyDescent="0.2">
      <c r="A716" s="304"/>
      <c r="B716" s="304"/>
      <c r="C716" s="304"/>
      <c r="D716" s="304"/>
      <c r="E716" s="304"/>
      <c r="F716" s="304"/>
      <c r="G716" s="304"/>
      <c r="H716" s="304"/>
      <c r="I716" s="304"/>
      <c r="J716" s="304"/>
      <c r="K716" s="304"/>
      <c r="L716" s="304"/>
      <c r="M716" s="304"/>
      <c r="N716" s="304"/>
      <c r="O716" s="304"/>
      <c r="P716" s="304"/>
      <c r="Q716" s="304"/>
      <c r="R716" s="304"/>
      <c r="S716" s="304"/>
      <c r="T716" s="304"/>
      <c r="U716" s="304"/>
      <c r="V716" s="304"/>
      <c r="W716" s="304"/>
      <c r="X716" s="304"/>
      <c r="Y716" s="304"/>
      <c r="Z716" s="304"/>
    </row>
    <row r="717" spans="1:26" x14ac:dyDescent="0.2">
      <c r="A717" s="304"/>
      <c r="B717" s="304"/>
      <c r="C717" s="304"/>
      <c r="D717" s="304"/>
      <c r="E717" s="304"/>
      <c r="F717" s="304"/>
      <c r="G717" s="304"/>
      <c r="H717" s="304"/>
      <c r="I717" s="304"/>
      <c r="J717" s="304"/>
      <c r="K717" s="304"/>
      <c r="L717" s="304"/>
      <c r="M717" s="304"/>
      <c r="N717" s="304"/>
      <c r="O717" s="304"/>
      <c r="P717" s="304"/>
      <c r="Q717" s="304"/>
      <c r="R717" s="304"/>
      <c r="S717" s="304"/>
      <c r="T717" s="304"/>
      <c r="U717" s="304"/>
      <c r="V717" s="304"/>
      <c r="W717" s="304"/>
      <c r="X717" s="304"/>
      <c r="Y717" s="304"/>
      <c r="Z717" s="304"/>
    </row>
    <row r="718" spans="1:26" x14ac:dyDescent="0.2">
      <c r="A718" s="304"/>
      <c r="B718" s="304"/>
      <c r="C718" s="304"/>
      <c r="D718" s="304"/>
      <c r="E718" s="304"/>
      <c r="F718" s="304"/>
      <c r="G718" s="304"/>
      <c r="H718" s="304"/>
      <c r="I718" s="304"/>
      <c r="J718" s="304"/>
      <c r="K718" s="304"/>
      <c r="L718" s="304"/>
      <c r="M718" s="304"/>
      <c r="N718" s="304"/>
      <c r="O718" s="304"/>
      <c r="P718" s="304"/>
      <c r="Q718" s="304"/>
      <c r="R718" s="304"/>
      <c r="S718" s="304"/>
      <c r="T718" s="304"/>
      <c r="U718" s="304"/>
      <c r="V718" s="304"/>
      <c r="W718" s="304"/>
      <c r="X718" s="304"/>
      <c r="Y718" s="304"/>
      <c r="Z718" s="304"/>
    </row>
    <row r="719" spans="1:26" x14ac:dyDescent="0.2">
      <c r="A719" s="304"/>
      <c r="B719" s="304"/>
      <c r="C719" s="304"/>
      <c r="D719" s="304"/>
      <c r="E719" s="304"/>
      <c r="F719" s="304"/>
      <c r="G719" s="304"/>
      <c r="H719" s="304"/>
      <c r="I719" s="304"/>
      <c r="J719" s="304"/>
      <c r="K719" s="304"/>
      <c r="L719" s="304"/>
      <c r="M719" s="304"/>
      <c r="N719" s="304"/>
      <c r="O719" s="304"/>
      <c r="P719" s="304"/>
      <c r="Q719" s="304"/>
      <c r="R719" s="304"/>
      <c r="S719" s="304"/>
      <c r="T719" s="304"/>
      <c r="U719" s="304"/>
      <c r="V719" s="304"/>
      <c r="W719" s="304"/>
      <c r="X719" s="304"/>
      <c r="Y719" s="304"/>
      <c r="Z719" s="304"/>
    </row>
    <row r="720" spans="1:26" x14ac:dyDescent="0.2">
      <c r="A720" s="304"/>
      <c r="B720" s="304"/>
      <c r="C720" s="304"/>
      <c r="D720" s="304"/>
      <c r="E720" s="304"/>
      <c r="F720" s="304"/>
      <c r="G720" s="304"/>
      <c r="H720" s="304"/>
      <c r="I720" s="304"/>
      <c r="J720" s="304"/>
      <c r="K720" s="304"/>
      <c r="L720" s="304"/>
      <c r="M720" s="304"/>
      <c r="N720" s="304"/>
      <c r="O720" s="304"/>
      <c r="P720" s="304"/>
      <c r="Q720" s="304"/>
      <c r="R720" s="304"/>
      <c r="S720" s="304"/>
      <c r="T720" s="304"/>
      <c r="U720" s="304"/>
      <c r="V720" s="304"/>
      <c r="W720" s="304"/>
      <c r="X720" s="304"/>
      <c r="Y720" s="304"/>
      <c r="Z720" s="304"/>
    </row>
    <row r="721" spans="1:26" x14ac:dyDescent="0.2">
      <c r="A721" s="304"/>
      <c r="B721" s="304"/>
      <c r="C721" s="304"/>
      <c r="D721" s="304"/>
      <c r="E721" s="304"/>
      <c r="F721" s="304"/>
      <c r="G721" s="304"/>
      <c r="H721" s="304"/>
      <c r="I721" s="304"/>
      <c r="J721" s="304"/>
      <c r="K721" s="304"/>
      <c r="L721" s="304"/>
      <c r="M721" s="304"/>
      <c r="N721" s="304"/>
      <c r="O721" s="304"/>
      <c r="P721" s="304"/>
      <c r="Q721" s="304"/>
      <c r="R721" s="304"/>
      <c r="S721" s="304"/>
      <c r="T721" s="304"/>
      <c r="U721" s="304"/>
      <c r="V721" s="304"/>
      <c r="W721" s="304"/>
      <c r="X721" s="304"/>
      <c r="Y721" s="304"/>
      <c r="Z721" s="304"/>
    </row>
    <row r="722" spans="1:26" x14ac:dyDescent="0.2">
      <c r="A722" s="304"/>
      <c r="B722" s="304"/>
      <c r="C722" s="304"/>
      <c r="D722" s="304"/>
      <c r="E722" s="304"/>
      <c r="F722" s="304"/>
      <c r="G722" s="304"/>
      <c r="H722" s="304"/>
      <c r="I722" s="304"/>
      <c r="J722" s="304"/>
      <c r="K722" s="304"/>
      <c r="L722" s="304"/>
      <c r="M722" s="304"/>
      <c r="N722" s="304"/>
      <c r="O722" s="304"/>
      <c r="P722" s="304"/>
      <c r="Q722" s="304"/>
      <c r="R722" s="304"/>
      <c r="S722" s="304"/>
      <c r="T722" s="304"/>
      <c r="U722" s="304"/>
      <c r="V722" s="304"/>
      <c r="W722" s="304"/>
      <c r="X722" s="304"/>
      <c r="Y722" s="304"/>
      <c r="Z722" s="304"/>
    </row>
    <row r="723" spans="1:26" x14ac:dyDescent="0.2">
      <c r="A723" s="304"/>
      <c r="B723" s="304"/>
      <c r="C723" s="304"/>
      <c r="D723" s="304"/>
      <c r="E723" s="304"/>
      <c r="F723" s="304"/>
      <c r="G723" s="304"/>
      <c r="H723" s="304"/>
      <c r="I723" s="304"/>
      <c r="J723" s="304"/>
      <c r="K723" s="304"/>
      <c r="L723" s="304"/>
      <c r="M723" s="304"/>
      <c r="N723" s="304"/>
      <c r="O723" s="304"/>
      <c r="P723" s="304"/>
      <c r="Q723" s="304"/>
      <c r="R723" s="304"/>
      <c r="S723" s="304"/>
      <c r="T723" s="304"/>
      <c r="U723" s="304"/>
      <c r="V723" s="304"/>
      <c r="W723" s="304"/>
      <c r="X723" s="304"/>
      <c r="Y723" s="304"/>
      <c r="Z723" s="304"/>
    </row>
    <row r="724" spans="1:26" x14ac:dyDescent="0.2">
      <c r="A724" s="304"/>
      <c r="B724" s="304"/>
      <c r="C724" s="304"/>
      <c r="D724" s="304"/>
      <c r="E724" s="304"/>
      <c r="F724" s="304"/>
      <c r="G724" s="304"/>
      <c r="H724" s="304"/>
      <c r="I724" s="304"/>
      <c r="J724" s="304"/>
      <c r="K724" s="304"/>
      <c r="L724" s="304"/>
      <c r="M724" s="304"/>
      <c r="N724" s="304"/>
      <c r="O724" s="304"/>
      <c r="P724" s="304"/>
      <c r="Q724" s="304"/>
      <c r="R724" s="304"/>
      <c r="S724" s="304"/>
      <c r="T724" s="304"/>
      <c r="U724" s="304"/>
      <c r="V724" s="304"/>
      <c r="W724" s="304"/>
      <c r="X724" s="304"/>
      <c r="Y724" s="304"/>
      <c r="Z724" s="304"/>
    </row>
    <row r="725" spans="1:26" x14ac:dyDescent="0.2">
      <c r="A725" s="304"/>
      <c r="B725" s="304"/>
      <c r="C725" s="304"/>
      <c r="D725" s="304"/>
      <c r="E725" s="304"/>
      <c r="F725" s="304"/>
      <c r="G725" s="304"/>
      <c r="H725" s="304"/>
      <c r="I725" s="304"/>
      <c r="J725" s="304"/>
      <c r="K725" s="304"/>
      <c r="L725" s="304"/>
      <c r="M725" s="304"/>
      <c r="N725" s="304"/>
      <c r="O725" s="304"/>
      <c r="P725" s="304"/>
      <c r="Q725" s="304"/>
      <c r="R725" s="304"/>
      <c r="S725" s="304"/>
      <c r="T725" s="304"/>
      <c r="U725" s="304"/>
      <c r="V725" s="304"/>
      <c r="W725" s="304"/>
      <c r="X725" s="304"/>
      <c r="Y725" s="304"/>
      <c r="Z725" s="304"/>
    </row>
    <row r="726" spans="1:26" x14ac:dyDescent="0.2">
      <c r="A726" s="304"/>
      <c r="B726" s="304"/>
      <c r="C726" s="304"/>
      <c r="D726" s="304"/>
      <c r="E726" s="304"/>
      <c r="F726" s="304"/>
      <c r="G726" s="304"/>
      <c r="H726" s="304"/>
      <c r="I726" s="304"/>
      <c r="J726" s="304"/>
      <c r="K726" s="304"/>
      <c r="L726" s="304"/>
      <c r="M726" s="304"/>
      <c r="N726" s="304"/>
      <c r="O726" s="304"/>
      <c r="P726" s="304"/>
      <c r="Q726" s="304"/>
      <c r="R726" s="304"/>
      <c r="S726" s="304"/>
      <c r="T726" s="304"/>
      <c r="U726" s="304"/>
      <c r="V726" s="304"/>
      <c r="W726" s="304"/>
      <c r="X726" s="304"/>
      <c r="Y726" s="304"/>
      <c r="Z726" s="304"/>
    </row>
    <row r="727" spans="1:26" x14ac:dyDescent="0.2">
      <c r="A727" s="304"/>
      <c r="B727" s="304"/>
      <c r="C727" s="304"/>
      <c r="D727" s="304"/>
      <c r="E727" s="304"/>
      <c r="F727" s="304"/>
      <c r="G727" s="304"/>
      <c r="H727" s="304"/>
      <c r="I727" s="304"/>
      <c r="J727" s="304"/>
      <c r="K727" s="304"/>
      <c r="L727" s="304"/>
      <c r="M727" s="304"/>
      <c r="N727" s="304"/>
      <c r="O727" s="304"/>
      <c r="P727" s="304"/>
      <c r="Q727" s="304"/>
      <c r="R727" s="304"/>
      <c r="S727" s="304"/>
      <c r="T727" s="304"/>
      <c r="U727" s="304"/>
      <c r="V727" s="304"/>
      <c r="W727" s="304"/>
      <c r="X727" s="304"/>
      <c r="Y727" s="304"/>
      <c r="Z727" s="304"/>
    </row>
    <row r="728" spans="1:26" x14ac:dyDescent="0.2">
      <c r="A728" s="304"/>
      <c r="B728" s="304"/>
      <c r="C728" s="304"/>
      <c r="D728" s="304"/>
      <c r="E728" s="304"/>
      <c r="F728" s="304"/>
      <c r="G728" s="304"/>
      <c r="H728" s="304"/>
      <c r="I728" s="304"/>
      <c r="J728" s="304"/>
      <c r="K728" s="304"/>
      <c r="L728" s="304"/>
      <c r="M728" s="304"/>
      <c r="N728" s="304"/>
      <c r="O728" s="304"/>
      <c r="P728" s="304"/>
      <c r="Q728" s="304"/>
      <c r="R728" s="304"/>
      <c r="S728" s="304"/>
      <c r="T728" s="304"/>
      <c r="U728" s="304"/>
      <c r="V728" s="304"/>
      <c r="W728" s="304"/>
      <c r="X728" s="304"/>
      <c r="Y728" s="304"/>
      <c r="Z728" s="304"/>
    </row>
    <row r="729" spans="1:26" x14ac:dyDescent="0.2">
      <c r="A729" s="304"/>
      <c r="B729" s="304"/>
      <c r="C729" s="304"/>
      <c r="D729" s="304"/>
      <c r="E729" s="304"/>
      <c r="F729" s="304"/>
      <c r="G729" s="304"/>
      <c r="H729" s="304"/>
      <c r="I729" s="304"/>
      <c r="J729" s="304"/>
      <c r="K729" s="304"/>
      <c r="L729" s="304"/>
      <c r="M729" s="304"/>
      <c r="N729" s="304"/>
      <c r="O729" s="304"/>
      <c r="P729" s="304"/>
      <c r="Q729" s="304"/>
      <c r="R729" s="304"/>
      <c r="S729" s="304"/>
      <c r="T729" s="304"/>
      <c r="U729" s="304"/>
      <c r="V729" s="304"/>
      <c r="W729" s="304"/>
      <c r="X729" s="304"/>
      <c r="Y729" s="304"/>
      <c r="Z729" s="304"/>
    </row>
    <row r="730" spans="1:26" x14ac:dyDescent="0.2">
      <c r="A730" s="304"/>
      <c r="B730" s="304"/>
      <c r="C730" s="304"/>
      <c r="D730" s="304"/>
      <c r="E730" s="304"/>
      <c r="F730" s="304"/>
      <c r="G730" s="304"/>
      <c r="H730" s="304"/>
      <c r="I730" s="304"/>
      <c r="J730" s="304"/>
      <c r="K730" s="304"/>
      <c r="L730" s="304"/>
      <c r="M730" s="304"/>
      <c r="N730" s="304"/>
      <c r="O730" s="304"/>
      <c r="P730" s="304"/>
      <c r="Q730" s="304"/>
      <c r="R730" s="304"/>
      <c r="S730" s="304"/>
      <c r="T730" s="304"/>
      <c r="U730" s="304"/>
      <c r="V730" s="304"/>
      <c r="W730" s="304"/>
      <c r="X730" s="304"/>
      <c r="Y730" s="304"/>
      <c r="Z730" s="304"/>
    </row>
    <row r="731" spans="1:26" x14ac:dyDescent="0.2">
      <c r="A731" s="304"/>
      <c r="B731" s="304"/>
      <c r="C731" s="304"/>
      <c r="D731" s="304"/>
      <c r="E731" s="304"/>
      <c r="F731" s="304"/>
      <c r="G731" s="304"/>
      <c r="H731" s="304"/>
      <c r="I731" s="304"/>
      <c r="J731" s="304"/>
      <c r="K731" s="304"/>
      <c r="L731" s="304"/>
      <c r="M731" s="304"/>
      <c r="N731" s="304"/>
      <c r="O731" s="304"/>
      <c r="P731" s="304"/>
      <c r="Q731" s="304"/>
      <c r="R731" s="304"/>
      <c r="S731" s="304"/>
      <c r="T731" s="304"/>
      <c r="U731" s="304"/>
      <c r="V731" s="304"/>
      <c r="W731" s="304"/>
      <c r="X731" s="304"/>
      <c r="Y731" s="304"/>
      <c r="Z731" s="304"/>
    </row>
    <row r="732" spans="1:26" x14ac:dyDescent="0.2">
      <c r="A732" s="304"/>
      <c r="B732" s="304"/>
      <c r="C732" s="304"/>
      <c r="D732" s="304"/>
      <c r="E732" s="304"/>
      <c r="F732" s="304"/>
      <c r="G732" s="304"/>
      <c r="H732" s="304"/>
      <c r="I732" s="304"/>
      <c r="J732" s="304"/>
      <c r="K732" s="304"/>
      <c r="L732" s="304"/>
      <c r="M732" s="304"/>
      <c r="N732" s="304"/>
      <c r="O732" s="304"/>
      <c r="P732" s="304"/>
      <c r="Q732" s="304"/>
      <c r="R732" s="304"/>
      <c r="S732" s="304"/>
      <c r="T732" s="304"/>
      <c r="U732" s="304"/>
      <c r="V732" s="304"/>
      <c r="W732" s="304"/>
      <c r="X732" s="304"/>
      <c r="Y732" s="304"/>
      <c r="Z732" s="304"/>
    </row>
    <row r="733" spans="1:26" x14ac:dyDescent="0.2">
      <c r="A733" s="304"/>
      <c r="B733" s="304"/>
      <c r="C733" s="304"/>
      <c r="D733" s="304"/>
      <c r="E733" s="304"/>
      <c r="F733" s="304"/>
      <c r="G733" s="304"/>
      <c r="H733" s="304"/>
      <c r="I733" s="304"/>
      <c r="J733" s="304"/>
      <c r="K733" s="304"/>
      <c r="L733" s="304"/>
      <c r="M733" s="304"/>
      <c r="N733" s="304"/>
      <c r="O733" s="304"/>
      <c r="P733" s="304"/>
      <c r="Q733" s="304"/>
      <c r="R733" s="304"/>
      <c r="S733" s="304"/>
      <c r="T733" s="304"/>
      <c r="U733" s="304"/>
      <c r="V733" s="304"/>
      <c r="W733" s="304"/>
      <c r="X733" s="304"/>
      <c r="Y733" s="304"/>
      <c r="Z733" s="304"/>
    </row>
    <row r="734" spans="1:26" x14ac:dyDescent="0.2">
      <c r="A734" s="304"/>
      <c r="B734" s="304"/>
      <c r="C734" s="304"/>
      <c r="D734" s="304"/>
      <c r="E734" s="304"/>
      <c r="F734" s="304"/>
      <c r="G734" s="304"/>
      <c r="H734" s="304"/>
      <c r="I734" s="304"/>
      <c r="J734" s="304"/>
      <c r="K734" s="304"/>
      <c r="L734" s="304"/>
      <c r="M734" s="304"/>
      <c r="N734" s="304"/>
      <c r="O734" s="304"/>
      <c r="P734" s="304"/>
      <c r="Q734" s="304"/>
      <c r="R734" s="304"/>
      <c r="S734" s="304"/>
      <c r="T734" s="304"/>
      <c r="U734" s="304"/>
      <c r="V734" s="304"/>
      <c r="W734" s="304"/>
      <c r="X734" s="304"/>
      <c r="Y734" s="304"/>
      <c r="Z734" s="304"/>
    </row>
    <row r="735" spans="1:26" x14ac:dyDescent="0.2">
      <c r="A735" s="304"/>
      <c r="B735" s="304"/>
      <c r="C735" s="304"/>
      <c r="D735" s="304"/>
      <c r="E735" s="304"/>
      <c r="F735" s="304"/>
      <c r="G735" s="304"/>
      <c r="H735" s="304"/>
      <c r="I735" s="304"/>
      <c r="J735" s="304"/>
      <c r="K735" s="304"/>
      <c r="L735" s="304"/>
      <c r="M735" s="304"/>
      <c r="N735" s="304"/>
      <c r="O735" s="304"/>
      <c r="P735" s="304"/>
      <c r="Q735" s="304"/>
      <c r="R735" s="304"/>
      <c r="S735" s="304"/>
      <c r="T735" s="304"/>
      <c r="U735" s="304"/>
      <c r="V735" s="304"/>
      <c r="W735" s="304"/>
      <c r="X735" s="304"/>
      <c r="Y735" s="304"/>
      <c r="Z735" s="304"/>
    </row>
    <row r="736" spans="1:26" x14ac:dyDescent="0.2">
      <c r="A736" s="304"/>
      <c r="B736" s="304"/>
      <c r="C736" s="304"/>
      <c r="D736" s="304"/>
      <c r="E736" s="304"/>
      <c r="F736" s="304"/>
      <c r="G736" s="304"/>
      <c r="H736" s="304"/>
      <c r="I736" s="304"/>
      <c r="J736" s="304"/>
      <c r="K736" s="304"/>
      <c r="L736" s="304"/>
      <c r="M736" s="304"/>
      <c r="N736" s="304"/>
      <c r="O736" s="304"/>
      <c r="P736" s="304"/>
      <c r="Q736" s="304"/>
      <c r="R736" s="304"/>
      <c r="S736" s="304"/>
      <c r="T736" s="304"/>
      <c r="U736" s="304"/>
      <c r="V736" s="304"/>
      <c r="W736" s="304"/>
      <c r="X736" s="304"/>
      <c r="Y736" s="304"/>
      <c r="Z736" s="304"/>
    </row>
    <row r="737" spans="1:26" x14ac:dyDescent="0.2">
      <c r="A737" s="304"/>
      <c r="B737" s="304"/>
      <c r="C737" s="304"/>
      <c r="D737" s="304"/>
      <c r="E737" s="304"/>
      <c r="F737" s="304"/>
      <c r="G737" s="304"/>
      <c r="H737" s="304"/>
      <c r="I737" s="304"/>
      <c r="J737" s="304"/>
      <c r="K737" s="304"/>
      <c r="L737" s="304"/>
      <c r="M737" s="304"/>
      <c r="N737" s="304"/>
      <c r="O737" s="304"/>
      <c r="P737" s="304"/>
      <c r="Q737" s="304"/>
      <c r="R737" s="304"/>
      <c r="S737" s="304"/>
      <c r="T737" s="304"/>
      <c r="U737" s="304"/>
      <c r="V737" s="304"/>
      <c r="W737" s="304"/>
      <c r="X737" s="304"/>
      <c r="Y737" s="304"/>
      <c r="Z737" s="304"/>
    </row>
    <row r="738" spans="1:26" x14ac:dyDescent="0.2">
      <c r="A738" s="304"/>
      <c r="B738" s="304"/>
      <c r="C738" s="304"/>
      <c r="D738" s="304"/>
      <c r="E738" s="304"/>
      <c r="F738" s="304"/>
      <c r="G738" s="304"/>
      <c r="H738" s="304"/>
      <c r="I738" s="304"/>
      <c r="J738" s="304"/>
      <c r="K738" s="304"/>
      <c r="L738" s="304"/>
      <c r="M738" s="304"/>
      <c r="N738" s="304"/>
      <c r="O738" s="304"/>
      <c r="P738" s="304"/>
      <c r="Q738" s="304"/>
      <c r="R738" s="304"/>
      <c r="S738" s="304"/>
      <c r="T738" s="304"/>
      <c r="U738" s="304"/>
      <c r="V738" s="304"/>
      <c r="W738" s="304"/>
      <c r="X738" s="304"/>
      <c r="Y738" s="304"/>
      <c r="Z738" s="304"/>
    </row>
    <row r="739" spans="1:26" x14ac:dyDescent="0.2">
      <c r="A739" s="304"/>
      <c r="B739" s="304"/>
      <c r="C739" s="304"/>
      <c r="D739" s="304"/>
      <c r="E739" s="304"/>
      <c r="F739" s="304"/>
      <c r="G739" s="304"/>
      <c r="H739" s="304"/>
      <c r="I739" s="304"/>
      <c r="J739" s="304"/>
      <c r="K739" s="304"/>
      <c r="L739" s="304"/>
      <c r="M739" s="304"/>
      <c r="N739" s="304"/>
      <c r="O739" s="304"/>
      <c r="P739" s="304"/>
      <c r="Q739" s="304"/>
      <c r="R739" s="304"/>
      <c r="S739" s="304"/>
      <c r="T739" s="304"/>
      <c r="U739" s="304"/>
      <c r="V739" s="304"/>
      <c r="W739" s="304"/>
      <c r="X739" s="304"/>
      <c r="Y739" s="304"/>
      <c r="Z739" s="304"/>
    </row>
    <row r="740" spans="1:26" x14ac:dyDescent="0.2">
      <c r="A740" s="304"/>
      <c r="B740" s="304"/>
      <c r="C740" s="304"/>
      <c r="D740" s="304"/>
      <c r="E740" s="304"/>
      <c r="F740" s="304"/>
      <c r="G740" s="304"/>
      <c r="H740" s="304"/>
      <c r="I740" s="304"/>
      <c r="J740" s="304"/>
      <c r="K740" s="304"/>
      <c r="L740" s="304"/>
      <c r="M740" s="304"/>
      <c r="N740" s="304"/>
      <c r="O740" s="304"/>
      <c r="P740" s="304"/>
      <c r="Q740" s="304"/>
      <c r="R740" s="304"/>
      <c r="S740" s="304"/>
      <c r="T740" s="304"/>
      <c r="U740" s="304"/>
      <c r="V740" s="304"/>
      <c r="W740" s="304"/>
      <c r="X740" s="304"/>
      <c r="Y740" s="304"/>
      <c r="Z740" s="304"/>
    </row>
    <row r="741" spans="1:26" x14ac:dyDescent="0.2">
      <c r="A741" s="304"/>
      <c r="B741" s="304"/>
      <c r="C741" s="304"/>
      <c r="D741" s="304"/>
      <c r="E741" s="304"/>
      <c r="F741" s="304"/>
      <c r="G741" s="304"/>
      <c r="H741" s="304"/>
      <c r="I741" s="304"/>
      <c r="J741" s="304"/>
      <c r="K741" s="304"/>
      <c r="L741" s="304"/>
      <c r="M741" s="304"/>
      <c r="N741" s="304"/>
      <c r="O741" s="304"/>
      <c r="P741" s="304"/>
      <c r="Q741" s="304"/>
      <c r="R741" s="304"/>
      <c r="S741" s="304"/>
      <c r="T741" s="304"/>
      <c r="U741" s="304"/>
      <c r="V741" s="304"/>
      <c r="W741" s="304"/>
      <c r="X741" s="304"/>
      <c r="Y741" s="304"/>
      <c r="Z741" s="304"/>
    </row>
    <row r="742" spans="1:26" x14ac:dyDescent="0.2">
      <c r="A742" s="304"/>
      <c r="B742" s="304"/>
      <c r="C742" s="304"/>
      <c r="D742" s="304"/>
      <c r="E742" s="304"/>
      <c r="F742" s="304"/>
      <c r="G742" s="304"/>
      <c r="H742" s="304"/>
      <c r="I742" s="304"/>
      <c r="J742" s="304"/>
      <c r="K742" s="304"/>
      <c r="L742" s="304"/>
      <c r="M742" s="304"/>
      <c r="N742" s="304"/>
      <c r="O742" s="304"/>
      <c r="P742" s="304"/>
      <c r="Q742" s="304"/>
      <c r="R742" s="304"/>
      <c r="S742" s="304"/>
      <c r="T742" s="304"/>
      <c r="U742" s="304"/>
      <c r="V742" s="304"/>
      <c r="W742" s="304"/>
      <c r="X742" s="304"/>
      <c r="Y742" s="304"/>
      <c r="Z742" s="304"/>
    </row>
    <row r="743" spans="1:26" x14ac:dyDescent="0.2">
      <c r="A743" s="304"/>
      <c r="B743" s="304"/>
      <c r="C743" s="304"/>
      <c r="D743" s="304"/>
      <c r="E743" s="304"/>
      <c r="F743" s="304"/>
      <c r="G743" s="304"/>
      <c r="H743" s="304"/>
      <c r="I743" s="304"/>
      <c r="J743" s="304"/>
      <c r="K743" s="304"/>
      <c r="L743" s="304"/>
      <c r="M743" s="304"/>
      <c r="N743" s="304"/>
      <c r="O743" s="304"/>
      <c r="P743" s="304"/>
      <c r="Q743" s="304"/>
      <c r="R743" s="304"/>
      <c r="S743" s="304"/>
      <c r="T743" s="304"/>
      <c r="U743" s="304"/>
      <c r="V743" s="304"/>
      <c r="W743" s="304"/>
      <c r="X743" s="304"/>
      <c r="Y743" s="304"/>
      <c r="Z743" s="304"/>
    </row>
    <row r="744" spans="1:26" x14ac:dyDescent="0.2">
      <c r="A744" s="304"/>
      <c r="B744" s="304"/>
      <c r="C744" s="304"/>
      <c r="D744" s="304"/>
      <c r="E744" s="304"/>
      <c r="F744" s="304"/>
      <c r="G744" s="304"/>
      <c r="H744" s="304"/>
      <c r="I744" s="304"/>
      <c r="J744" s="304"/>
      <c r="K744" s="304"/>
      <c r="L744" s="304"/>
      <c r="M744" s="304"/>
      <c r="N744" s="304"/>
      <c r="O744" s="304"/>
      <c r="P744" s="304"/>
      <c r="Q744" s="304"/>
      <c r="R744" s="304"/>
      <c r="S744" s="304"/>
      <c r="T744" s="304"/>
      <c r="U744" s="304"/>
      <c r="V744" s="304"/>
      <c r="W744" s="304"/>
      <c r="X744" s="304"/>
      <c r="Y744" s="304"/>
      <c r="Z744" s="304"/>
    </row>
    <row r="745" spans="1:26" x14ac:dyDescent="0.2">
      <c r="A745" s="304"/>
      <c r="B745" s="304"/>
      <c r="C745" s="304"/>
      <c r="D745" s="304"/>
      <c r="E745" s="304"/>
      <c r="F745" s="304"/>
      <c r="G745" s="304"/>
      <c r="H745" s="304"/>
      <c r="I745" s="304"/>
      <c r="J745" s="304"/>
      <c r="K745" s="304"/>
      <c r="L745" s="304"/>
      <c r="M745" s="304"/>
      <c r="N745" s="304"/>
      <c r="O745" s="304"/>
      <c r="P745" s="304"/>
      <c r="Q745" s="304"/>
      <c r="R745" s="304"/>
      <c r="S745" s="304"/>
      <c r="T745" s="304"/>
      <c r="U745" s="304"/>
      <c r="V745" s="304"/>
      <c r="W745" s="304"/>
      <c r="X745" s="304"/>
      <c r="Y745" s="304"/>
      <c r="Z745" s="304"/>
    </row>
    <row r="746" spans="1:26" x14ac:dyDescent="0.2">
      <c r="A746" s="304"/>
      <c r="B746" s="304"/>
      <c r="C746" s="304"/>
      <c r="D746" s="304"/>
      <c r="E746" s="304"/>
      <c r="F746" s="304"/>
      <c r="G746" s="304"/>
      <c r="H746" s="304"/>
      <c r="I746" s="304"/>
      <c r="J746" s="304"/>
      <c r="K746" s="304"/>
      <c r="L746" s="304"/>
      <c r="M746" s="304"/>
      <c r="N746" s="304"/>
      <c r="O746" s="304"/>
      <c r="P746" s="304"/>
      <c r="Q746" s="304"/>
      <c r="R746" s="304"/>
      <c r="S746" s="304"/>
      <c r="T746" s="304"/>
      <c r="U746" s="304"/>
      <c r="V746" s="304"/>
      <c r="W746" s="304"/>
      <c r="X746" s="304"/>
      <c r="Y746" s="304"/>
      <c r="Z746" s="304"/>
    </row>
    <row r="747" spans="1:26" x14ac:dyDescent="0.2">
      <c r="A747" s="304"/>
      <c r="B747" s="304"/>
      <c r="C747" s="304"/>
      <c r="D747" s="304"/>
      <c r="E747" s="304"/>
      <c r="F747" s="304"/>
      <c r="G747" s="304"/>
      <c r="H747" s="304"/>
      <c r="I747" s="304"/>
      <c r="J747" s="304"/>
      <c r="K747" s="304"/>
      <c r="L747" s="304"/>
      <c r="M747" s="304"/>
      <c r="N747" s="304"/>
      <c r="O747" s="304"/>
      <c r="P747" s="304"/>
      <c r="Q747" s="304"/>
      <c r="R747" s="304"/>
      <c r="S747" s="304"/>
      <c r="T747" s="304"/>
      <c r="U747" s="304"/>
      <c r="V747" s="304"/>
      <c r="W747" s="304"/>
      <c r="X747" s="304"/>
      <c r="Y747" s="304"/>
      <c r="Z747" s="304"/>
    </row>
    <row r="748" spans="1:26" x14ac:dyDescent="0.2">
      <c r="A748" s="304"/>
      <c r="B748" s="304"/>
      <c r="C748" s="304"/>
      <c r="D748" s="304"/>
      <c r="E748" s="304"/>
      <c r="F748" s="304"/>
      <c r="G748" s="304"/>
      <c r="H748" s="304"/>
      <c r="I748" s="304"/>
      <c r="J748" s="304"/>
      <c r="K748" s="304"/>
      <c r="L748" s="304"/>
      <c r="M748" s="304"/>
      <c r="N748" s="304"/>
      <c r="O748" s="304"/>
      <c r="P748" s="304"/>
      <c r="Q748" s="304"/>
      <c r="R748" s="304"/>
      <c r="S748" s="304"/>
      <c r="T748" s="304"/>
      <c r="U748" s="304"/>
      <c r="V748" s="304"/>
      <c r="W748" s="304"/>
      <c r="X748" s="304"/>
      <c r="Y748" s="304"/>
      <c r="Z748" s="304"/>
    </row>
    <row r="749" spans="1:26" x14ac:dyDescent="0.2">
      <c r="A749" s="304"/>
      <c r="B749" s="304"/>
      <c r="C749" s="304"/>
      <c r="D749" s="304"/>
      <c r="E749" s="304"/>
      <c r="F749" s="304"/>
      <c r="G749" s="304"/>
      <c r="H749" s="304"/>
      <c r="I749" s="304"/>
      <c r="J749" s="304"/>
      <c r="K749" s="304"/>
      <c r="L749" s="304"/>
      <c r="M749" s="304"/>
      <c r="N749" s="304"/>
      <c r="O749" s="304"/>
      <c r="P749" s="304"/>
      <c r="Q749" s="304"/>
      <c r="R749" s="304"/>
      <c r="S749" s="304"/>
      <c r="T749" s="304"/>
      <c r="U749" s="304"/>
      <c r="V749" s="304"/>
      <c r="W749" s="304"/>
      <c r="X749" s="304"/>
      <c r="Y749" s="304"/>
      <c r="Z749" s="304"/>
    </row>
    <row r="750" spans="1:26" x14ac:dyDescent="0.2">
      <c r="A750" s="304"/>
      <c r="B750" s="304"/>
      <c r="C750" s="304"/>
      <c r="D750" s="304"/>
      <c r="E750" s="304"/>
      <c r="F750" s="304"/>
      <c r="G750" s="304"/>
      <c r="H750" s="304"/>
      <c r="I750" s="304"/>
      <c r="J750" s="304"/>
      <c r="K750" s="304"/>
      <c r="L750" s="304"/>
      <c r="M750" s="304"/>
      <c r="N750" s="304"/>
      <c r="O750" s="304"/>
      <c r="P750" s="304"/>
      <c r="Q750" s="304"/>
      <c r="R750" s="304"/>
      <c r="S750" s="304"/>
      <c r="T750" s="304"/>
      <c r="U750" s="304"/>
      <c r="V750" s="304"/>
      <c r="W750" s="304"/>
      <c r="X750" s="304"/>
      <c r="Y750" s="304"/>
      <c r="Z750" s="304"/>
    </row>
    <row r="751" spans="1:26" x14ac:dyDescent="0.2">
      <c r="A751" s="304"/>
      <c r="B751" s="304"/>
      <c r="C751" s="304"/>
      <c r="D751" s="304"/>
      <c r="E751" s="304"/>
      <c r="F751" s="304"/>
      <c r="G751" s="304"/>
      <c r="H751" s="304"/>
      <c r="I751" s="304"/>
      <c r="J751" s="304"/>
      <c r="K751" s="304"/>
      <c r="L751" s="304"/>
      <c r="M751" s="304"/>
      <c r="N751" s="304"/>
      <c r="O751" s="304"/>
      <c r="P751" s="304"/>
      <c r="Q751" s="304"/>
      <c r="R751" s="304"/>
      <c r="S751" s="304"/>
      <c r="T751" s="304"/>
      <c r="U751" s="304"/>
      <c r="V751" s="304"/>
      <c r="W751" s="304"/>
      <c r="X751" s="304"/>
      <c r="Y751" s="304"/>
      <c r="Z751" s="304"/>
    </row>
    <row r="752" spans="1:26" x14ac:dyDescent="0.2">
      <c r="A752" s="304"/>
      <c r="B752" s="304"/>
      <c r="C752" s="304"/>
      <c r="D752" s="304"/>
      <c r="E752" s="304"/>
      <c r="F752" s="304"/>
      <c r="G752" s="304"/>
      <c r="H752" s="304"/>
      <c r="I752" s="304"/>
      <c r="J752" s="304"/>
      <c r="K752" s="304"/>
      <c r="L752" s="304"/>
      <c r="M752" s="304"/>
      <c r="N752" s="304"/>
      <c r="O752" s="304"/>
      <c r="P752" s="304"/>
      <c r="Q752" s="304"/>
      <c r="R752" s="304"/>
      <c r="S752" s="304"/>
      <c r="T752" s="304"/>
      <c r="U752" s="304"/>
      <c r="V752" s="304"/>
      <c r="W752" s="304"/>
      <c r="X752" s="304"/>
      <c r="Y752" s="304"/>
      <c r="Z752" s="304"/>
    </row>
    <row r="753" spans="1:26" x14ac:dyDescent="0.2">
      <c r="A753" s="304"/>
      <c r="B753" s="304"/>
      <c r="C753" s="304"/>
      <c r="D753" s="304"/>
      <c r="E753" s="304"/>
      <c r="F753" s="304"/>
      <c r="G753" s="304"/>
      <c r="H753" s="304"/>
      <c r="I753" s="304"/>
      <c r="J753" s="304"/>
      <c r="K753" s="304"/>
      <c r="L753" s="304"/>
      <c r="M753" s="304"/>
      <c r="N753" s="304"/>
      <c r="O753" s="304"/>
      <c r="P753" s="304"/>
      <c r="Q753" s="304"/>
      <c r="R753" s="304"/>
      <c r="S753" s="304"/>
      <c r="T753" s="304"/>
      <c r="U753" s="304"/>
      <c r="V753" s="304"/>
      <c r="W753" s="304"/>
      <c r="X753" s="304"/>
      <c r="Y753" s="304"/>
      <c r="Z753" s="304"/>
    </row>
    <row r="754" spans="1:26" x14ac:dyDescent="0.2">
      <c r="A754" s="304"/>
      <c r="B754" s="304"/>
      <c r="C754" s="304"/>
      <c r="D754" s="304"/>
      <c r="E754" s="304"/>
      <c r="F754" s="304"/>
      <c r="G754" s="304"/>
      <c r="H754" s="304"/>
      <c r="I754" s="304"/>
      <c r="J754" s="304"/>
      <c r="K754" s="304"/>
      <c r="L754" s="304"/>
      <c r="M754" s="304"/>
      <c r="N754" s="304"/>
      <c r="O754" s="304"/>
      <c r="P754" s="304"/>
      <c r="Q754" s="304"/>
      <c r="R754" s="304"/>
      <c r="S754" s="304"/>
      <c r="T754" s="304"/>
      <c r="U754" s="304"/>
      <c r="V754" s="304"/>
      <c r="W754" s="304"/>
      <c r="X754" s="304"/>
      <c r="Y754" s="304"/>
      <c r="Z754" s="304"/>
    </row>
    <row r="755" spans="1:26" x14ac:dyDescent="0.2">
      <c r="A755" s="304"/>
      <c r="B755" s="304"/>
      <c r="C755" s="304"/>
      <c r="D755" s="304"/>
      <c r="E755" s="304"/>
      <c r="F755" s="304"/>
      <c r="G755" s="304"/>
      <c r="H755" s="304"/>
      <c r="I755" s="304"/>
      <c r="J755" s="304"/>
      <c r="K755" s="304"/>
      <c r="L755" s="304"/>
      <c r="M755" s="304"/>
      <c r="N755" s="304"/>
      <c r="O755" s="304"/>
      <c r="P755" s="304"/>
      <c r="Q755" s="304"/>
      <c r="R755" s="304"/>
      <c r="S755" s="304"/>
      <c r="T755" s="304"/>
      <c r="U755" s="304"/>
      <c r="V755" s="304"/>
      <c r="W755" s="304"/>
      <c r="X755" s="304"/>
      <c r="Y755" s="304"/>
      <c r="Z755" s="304"/>
    </row>
    <row r="756" spans="1:26" x14ac:dyDescent="0.2">
      <c r="A756" s="304"/>
      <c r="B756" s="304"/>
      <c r="C756" s="304"/>
      <c r="D756" s="304"/>
      <c r="E756" s="304"/>
      <c r="F756" s="304"/>
      <c r="G756" s="304"/>
      <c r="H756" s="304"/>
      <c r="I756" s="304"/>
      <c r="J756" s="304"/>
      <c r="K756" s="304"/>
      <c r="L756" s="304"/>
      <c r="M756" s="304"/>
      <c r="N756" s="304"/>
      <c r="O756" s="304"/>
      <c r="P756" s="304"/>
      <c r="Q756" s="304"/>
      <c r="R756" s="304"/>
      <c r="S756" s="304"/>
      <c r="T756" s="304"/>
      <c r="U756" s="304"/>
      <c r="V756" s="304"/>
      <c r="W756" s="304"/>
      <c r="X756" s="304"/>
      <c r="Y756" s="304"/>
      <c r="Z756" s="304"/>
    </row>
    <row r="757" spans="1:26" x14ac:dyDescent="0.2">
      <c r="A757" s="304"/>
      <c r="B757" s="304"/>
      <c r="C757" s="304"/>
      <c r="D757" s="304"/>
      <c r="E757" s="304"/>
      <c r="F757" s="304"/>
      <c r="G757" s="304"/>
      <c r="H757" s="304"/>
      <c r="I757" s="304"/>
      <c r="J757" s="304"/>
      <c r="K757" s="304"/>
      <c r="L757" s="304"/>
      <c r="M757" s="304"/>
      <c r="N757" s="304"/>
      <c r="O757" s="304"/>
      <c r="P757" s="304"/>
      <c r="Q757" s="304"/>
      <c r="R757" s="304"/>
      <c r="S757" s="304"/>
      <c r="T757" s="304"/>
      <c r="U757" s="304"/>
      <c r="V757" s="304"/>
      <c r="W757" s="304"/>
      <c r="X757" s="304"/>
      <c r="Y757" s="304"/>
      <c r="Z757" s="304"/>
    </row>
    <row r="758" spans="1:26" x14ac:dyDescent="0.2">
      <c r="A758" s="304"/>
      <c r="B758" s="304"/>
      <c r="C758" s="304"/>
      <c r="D758" s="304"/>
      <c r="E758" s="304"/>
      <c r="F758" s="304"/>
      <c r="G758" s="304"/>
      <c r="H758" s="304"/>
      <c r="I758" s="304"/>
      <c r="J758" s="304"/>
      <c r="K758" s="304"/>
      <c r="L758" s="304"/>
      <c r="M758" s="304"/>
      <c r="N758" s="304"/>
      <c r="O758" s="304"/>
      <c r="P758" s="304"/>
      <c r="Q758" s="304"/>
      <c r="R758" s="304"/>
      <c r="S758" s="304"/>
      <c r="T758" s="304"/>
      <c r="U758" s="304"/>
      <c r="V758" s="304"/>
      <c r="W758" s="304"/>
      <c r="X758" s="304"/>
      <c r="Y758" s="304"/>
      <c r="Z758" s="304"/>
    </row>
    <row r="759" spans="1:26" x14ac:dyDescent="0.2">
      <c r="A759" s="304"/>
      <c r="B759" s="304"/>
      <c r="C759" s="304"/>
      <c r="D759" s="304"/>
      <c r="E759" s="304"/>
      <c r="F759" s="304"/>
      <c r="G759" s="304"/>
      <c r="H759" s="304"/>
      <c r="I759" s="304"/>
      <c r="J759" s="304"/>
      <c r="K759" s="304"/>
      <c r="L759" s="304"/>
      <c r="M759" s="304"/>
      <c r="N759" s="304"/>
      <c r="O759" s="304"/>
      <c r="P759" s="304"/>
      <c r="Q759" s="304"/>
      <c r="R759" s="304"/>
      <c r="S759" s="304"/>
      <c r="T759" s="304"/>
      <c r="U759" s="304"/>
      <c r="V759" s="304"/>
      <c r="W759" s="304"/>
      <c r="X759" s="304"/>
      <c r="Y759" s="304"/>
      <c r="Z759" s="304"/>
    </row>
    <row r="760" spans="1:26" x14ac:dyDescent="0.2">
      <c r="A760" s="304"/>
      <c r="B760" s="304"/>
      <c r="C760" s="304"/>
      <c r="D760" s="304"/>
      <c r="E760" s="304"/>
      <c r="F760" s="304"/>
      <c r="G760" s="304"/>
      <c r="H760" s="304"/>
      <c r="I760" s="304"/>
      <c r="J760" s="304"/>
      <c r="K760" s="304"/>
      <c r="L760" s="304"/>
      <c r="M760" s="304"/>
      <c r="N760" s="304"/>
      <c r="O760" s="304"/>
      <c r="P760" s="304"/>
      <c r="Q760" s="304"/>
      <c r="R760" s="304"/>
      <c r="S760" s="304"/>
      <c r="T760" s="304"/>
      <c r="U760" s="304"/>
      <c r="V760" s="304"/>
      <c r="W760" s="304"/>
      <c r="X760" s="304"/>
      <c r="Y760" s="304"/>
      <c r="Z760" s="304"/>
    </row>
    <row r="761" spans="1:26" x14ac:dyDescent="0.2">
      <c r="A761" s="304"/>
      <c r="B761" s="304"/>
      <c r="C761" s="304"/>
      <c r="D761" s="304"/>
      <c r="E761" s="304"/>
      <c r="F761" s="304"/>
      <c r="G761" s="304"/>
      <c r="H761" s="304"/>
      <c r="I761" s="304"/>
      <c r="J761" s="304"/>
      <c r="K761" s="304"/>
      <c r="L761" s="304"/>
      <c r="M761" s="304"/>
      <c r="N761" s="304"/>
      <c r="O761" s="304"/>
      <c r="P761" s="304"/>
      <c r="Q761" s="304"/>
      <c r="R761" s="304"/>
      <c r="S761" s="304"/>
      <c r="T761" s="304"/>
      <c r="U761" s="304"/>
      <c r="V761" s="304"/>
      <c r="W761" s="304"/>
      <c r="X761" s="304"/>
      <c r="Y761" s="304"/>
      <c r="Z761" s="304"/>
    </row>
    <row r="762" spans="1:26" x14ac:dyDescent="0.2">
      <c r="A762" s="304"/>
      <c r="B762" s="304"/>
      <c r="C762" s="304"/>
      <c r="D762" s="304"/>
      <c r="E762" s="304"/>
      <c r="F762" s="304"/>
      <c r="G762" s="304"/>
      <c r="H762" s="304"/>
      <c r="I762" s="304"/>
      <c r="J762" s="304"/>
      <c r="K762" s="304"/>
      <c r="L762" s="304"/>
      <c r="M762" s="304"/>
      <c r="N762" s="304"/>
      <c r="O762" s="304"/>
      <c r="P762" s="304"/>
      <c r="Q762" s="304"/>
      <c r="R762" s="304"/>
      <c r="S762" s="304"/>
      <c r="T762" s="304"/>
      <c r="U762" s="304"/>
      <c r="V762" s="304"/>
      <c r="W762" s="304"/>
      <c r="X762" s="304"/>
      <c r="Y762" s="304"/>
      <c r="Z762" s="304"/>
    </row>
    <row r="763" spans="1:26" x14ac:dyDescent="0.2">
      <c r="A763" s="304"/>
      <c r="B763" s="304"/>
      <c r="C763" s="304"/>
      <c r="D763" s="304"/>
      <c r="E763" s="304"/>
      <c r="F763" s="304"/>
      <c r="G763" s="304"/>
      <c r="H763" s="304"/>
      <c r="I763" s="304"/>
      <c r="J763" s="304"/>
      <c r="K763" s="304"/>
      <c r="L763" s="304"/>
      <c r="M763" s="304"/>
      <c r="N763" s="304"/>
      <c r="O763" s="304"/>
      <c r="P763" s="304"/>
      <c r="Q763" s="304"/>
      <c r="R763" s="304"/>
      <c r="S763" s="304"/>
      <c r="T763" s="304"/>
      <c r="U763" s="304"/>
      <c r="V763" s="304"/>
      <c r="W763" s="304"/>
      <c r="X763" s="304"/>
      <c r="Y763" s="304"/>
      <c r="Z763" s="304"/>
    </row>
    <row r="764" spans="1:26" x14ac:dyDescent="0.2">
      <c r="A764" s="304"/>
      <c r="B764" s="304"/>
      <c r="C764" s="304"/>
      <c r="D764" s="304"/>
      <c r="E764" s="304"/>
      <c r="F764" s="304"/>
      <c r="G764" s="304"/>
      <c r="H764" s="304"/>
      <c r="I764" s="304"/>
      <c r="J764" s="304"/>
      <c r="K764" s="304"/>
      <c r="L764" s="304"/>
      <c r="M764" s="304"/>
      <c r="N764" s="304"/>
      <c r="O764" s="304"/>
      <c r="P764" s="304"/>
      <c r="Q764" s="304"/>
      <c r="R764" s="304"/>
      <c r="S764" s="304"/>
      <c r="T764" s="304"/>
      <c r="U764" s="304"/>
      <c r="V764" s="304"/>
      <c r="W764" s="304"/>
      <c r="X764" s="304"/>
      <c r="Y764" s="304"/>
      <c r="Z764" s="304"/>
    </row>
    <row r="765" spans="1:26" x14ac:dyDescent="0.2">
      <c r="A765" s="304"/>
      <c r="B765" s="304"/>
      <c r="C765" s="304"/>
      <c r="D765" s="304"/>
      <c r="E765" s="304"/>
      <c r="F765" s="304"/>
      <c r="G765" s="304"/>
      <c r="H765" s="304"/>
      <c r="I765" s="304"/>
      <c r="J765" s="304"/>
      <c r="K765" s="304"/>
      <c r="L765" s="304"/>
      <c r="M765" s="304"/>
      <c r="N765" s="304"/>
      <c r="O765" s="304"/>
      <c r="P765" s="304"/>
      <c r="Q765" s="304"/>
      <c r="R765" s="304"/>
      <c r="S765" s="304"/>
      <c r="T765" s="304"/>
      <c r="U765" s="304"/>
      <c r="V765" s="304"/>
      <c r="W765" s="304"/>
      <c r="X765" s="304"/>
      <c r="Y765" s="304"/>
      <c r="Z765" s="304"/>
    </row>
    <row r="766" spans="1:26" x14ac:dyDescent="0.2">
      <c r="A766" s="304"/>
      <c r="B766" s="304"/>
      <c r="C766" s="304"/>
      <c r="D766" s="304"/>
      <c r="E766" s="304"/>
      <c r="F766" s="304"/>
      <c r="G766" s="304"/>
      <c r="H766" s="304"/>
      <c r="I766" s="304"/>
      <c r="J766" s="304"/>
      <c r="K766" s="304"/>
      <c r="L766" s="304"/>
      <c r="M766" s="304"/>
      <c r="N766" s="304"/>
      <c r="O766" s="304"/>
      <c r="P766" s="304"/>
      <c r="Q766" s="304"/>
      <c r="R766" s="304"/>
      <c r="S766" s="304"/>
      <c r="T766" s="304"/>
      <c r="U766" s="304"/>
      <c r="V766" s="304"/>
      <c r="W766" s="304"/>
      <c r="X766" s="304"/>
      <c r="Y766" s="304"/>
      <c r="Z766" s="304"/>
    </row>
    <row r="767" spans="1:26" x14ac:dyDescent="0.2">
      <c r="A767" s="304"/>
      <c r="B767" s="304"/>
      <c r="C767" s="304"/>
      <c r="D767" s="304"/>
      <c r="E767" s="304"/>
      <c r="F767" s="304"/>
      <c r="G767" s="304"/>
      <c r="H767" s="304"/>
      <c r="I767" s="304"/>
      <c r="J767" s="304"/>
      <c r="K767" s="304"/>
      <c r="L767" s="304"/>
      <c r="M767" s="304"/>
      <c r="N767" s="304"/>
      <c r="O767" s="304"/>
      <c r="P767" s="304"/>
      <c r="Q767" s="304"/>
      <c r="R767" s="304"/>
      <c r="S767" s="304"/>
      <c r="T767" s="304"/>
      <c r="U767" s="304"/>
      <c r="V767" s="304"/>
      <c r="W767" s="304"/>
      <c r="X767" s="304"/>
      <c r="Y767" s="304"/>
      <c r="Z767" s="304"/>
    </row>
    <row r="768" spans="1:26" x14ac:dyDescent="0.2">
      <c r="A768" s="304"/>
      <c r="B768" s="304"/>
      <c r="C768" s="304"/>
      <c r="D768" s="304"/>
      <c r="E768" s="304"/>
      <c r="F768" s="304"/>
      <c r="G768" s="304"/>
      <c r="H768" s="304"/>
      <c r="I768" s="304"/>
      <c r="J768" s="304"/>
      <c r="K768" s="304"/>
      <c r="L768" s="304"/>
      <c r="M768" s="304"/>
      <c r="N768" s="304"/>
      <c r="O768" s="304"/>
      <c r="P768" s="304"/>
      <c r="Q768" s="304"/>
      <c r="R768" s="304"/>
      <c r="S768" s="304"/>
      <c r="T768" s="304"/>
      <c r="U768" s="304"/>
      <c r="V768" s="304"/>
      <c r="W768" s="304"/>
      <c r="X768" s="304"/>
      <c r="Y768" s="304"/>
      <c r="Z768" s="304"/>
    </row>
    <row r="769" spans="1:26" x14ac:dyDescent="0.2">
      <c r="A769" s="304"/>
      <c r="B769" s="304"/>
      <c r="C769" s="304"/>
      <c r="D769" s="304"/>
      <c r="E769" s="304"/>
      <c r="F769" s="304"/>
      <c r="G769" s="304"/>
      <c r="H769" s="304"/>
      <c r="I769" s="304"/>
      <c r="J769" s="304"/>
      <c r="K769" s="304"/>
      <c r="L769" s="304"/>
      <c r="M769" s="304"/>
      <c r="N769" s="304"/>
      <c r="O769" s="304"/>
      <c r="P769" s="304"/>
      <c r="Q769" s="304"/>
      <c r="R769" s="304"/>
      <c r="S769" s="304"/>
      <c r="T769" s="304"/>
      <c r="U769" s="304"/>
      <c r="V769" s="304"/>
      <c r="W769" s="304"/>
      <c r="X769" s="304"/>
      <c r="Y769" s="304"/>
      <c r="Z769" s="304"/>
    </row>
    <row r="770" spans="1:26" x14ac:dyDescent="0.2">
      <c r="A770" s="304"/>
      <c r="B770" s="304"/>
      <c r="C770" s="304"/>
      <c r="D770" s="304"/>
      <c r="E770" s="304"/>
      <c r="F770" s="304"/>
      <c r="G770" s="304"/>
      <c r="H770" s="304"/>
      <c r="I770" s="304"/>
      <c r="J770" s="304"/>
      <c r="K770" s="304"/>
      <c r="L770" s="304"/>
      <c r="M770" s="304"/>
      <c r="N770" s="304"/>
      <c r="O770" s="304"/>
      <c r="P770" s="304"/>
      <c r="Q770" s="304"/>
      <c r="R770" s="304"/>
      <c r="S770" s="304"/>
      <c r="T770" s="304"/>
      <c r="U770" s="304"/>
      <c r="V770" s="304"/>
      <c r="W770" s="304"/>
      <c r="X770" s="304"/>
      <c r="Y770" s="304"/>
      <c r="Z770" s="304"/>
    </row>
    <row r="771" spans="1:26" x14ac:dyDescent="0.2">
      <c r="A771" s="304"/>
      <c r="B771" s="304"/>
      <c r="C771" s="304"/>
      <c r="D771" s="304"/>
      <c r="E771" s="304"/>
      <c r="F771" s="304"/>
      <c r="G771" s="304"/>
      <c r="H771" s="304"/>
      <c r="I771" s="304"/>
      <c r="J771" s="304"/>
      <c r="K771" s="304"/>
      <c r="L771" s="304"/>
      <c r="M771" s="304"/>
      <c r="N771" s="304"/>
      <c r="O771" s="304"/>
      <c r="P771" s="304"/>
      <c r="Q771" s="304"/>
      <c r="R771" s="304"/>
      <c r="S771" s="304"/>
      <c r="T771" s="304"/>
      <c r="U771" s="304"/>
      <c r="V771" s="304"/>
      <c r="W771" s="304"/>
      <c r="X771" s="304"/>
      <c r="Y771" s="304"/>
      <c r="Z771" s="304"/>
    </row>
    <row r="772" spans="1:26" x14ac:dyDescent="0.2">
      <c r="A772" s="304"/>
      <c r="B772" s="304"/>
      <c r="C772" s="304"/>
      <c r="D772" s="304"/>
      <c r="E772" s="304"/>
      <c r="F772" s="304"/>
      <c r="G772" s="304"/>
      <c r="H772" s="304"/>
      <c r="I772" s="304"/>
      <c r="J772" s="304"/>
      <c r="K772" s="304"/>
      <c r="L772" s="304"/>
      <c r="M772" s="304"/>
      <c r="N772" s="304"/>
      <c r="O772" s="304"/>
      <c r="P772" s="304"/>
      <c r="Q772" s="304"/>
      <c r="R772" s="304"/>
      <c r="S772" s="304"/>
      <c r="T772" s="304"/>
      <c r="U772" s="304"/>
      <c r="V772" s="304"/>
      <c r="W772" s="304"/>
      <c r="X772" s="304"/>
      <c r="Y772" s="304"/>
      <c r="Z772" s="304"/>
    </row>
    <row r="773" spans="1:26" x14ac:dyDescent="0.2">
      <c r="A773" s="304"/>
      <c r="B773" s="304"/>
      <c r="C773" s="304"/>
      <c r="D773" s="304"/>
      <c r="E773" s="304"/>
      <c r="F773" s="304"/>
      <c r="G773" s="304"/>
      <c r="H773" s="304"/>
      <c r="I773" s="304"/>
      <c r="J773" s="304"/>
      <c r="K773" s="304"/>
      <c r="L773" s="304"/>
      <c r="M773" s="304"/>
      <c r="N773" s="304"/>
      <c r="O773" s="304"/>
      <c r="P773" s="304"/>
      <c r="Q773" s="304"/>
      <c r="R773" s="304"/>
      <c r="S773" s="304"/>
      <c r="T773" s="304"/>
      <c r="U773" s="304"/>
      <c r="V773" s="304"/>
      <c r="W773" s="304"/>
      <c r="X773" s="304"/>
      <c r="Y773" s="304"/>
      <c r="Z773" s="304"/>
    </row>
    <row r="774" spans="1:26" x14ac:dyDescent="0.2">
      <c r="A774" s="304"/>
      <c r="B774" s="304"/>
      <c r="C774" s="304"/>
      <c r="D774" s="304"/>
      <c r="E774" s="304"/>
      <c r="F774" s="304"/>
      <c r="G774" s="304"/>
      <c r="H774" s="304"/>
      <c r="I774" s="304"/>
      <c r="J774" s="304"/>
      <c r="K774" s="304"/>
      <c r="L774" s="304"/>
      <c r="M774" s="304"/>
      <c r="N774" s="304"/>
      <c r="O774" s="304"/>
      <c r="P774" s="304"/>
      <c r="Q774" s="304"/>
      <c r="R774" s="304"/>
      <c r="S774" s="304"/>
      <c r="T774" s="304"/>
      <c r="U774" s="304"/>
      <c r="V774" s="304"/>
      <c r="W774" s="304"/>
      <c r="X774" s="304"/>
      <c r="Y774" s="304"/>
      <c r="Z774" s="304"/>
    </row>
    <row r="775" spans="1:26" x14ac:dyDescent="0.2">
      <c r="A775" s="304"/>
      <c r="B775" s="304"/>
      <c r="C775" s="304"/>
      <c r="D775" s="304"/>
      <c r="E775" s="304"/>
      <c r="F775" s="304"/>
      <c r="G775" s="304"/>
      <c r="H775" s="304"/>
      <c r="I775" s="304"/>
      <c r="J775" s="304"/>
      <c r="K775" s="304"/>
      <c r="L775" s="304"/>
      <c r="M775" s="304"/>
      <c r="N775" s="304"/>
      <c r="O775" s="304"/>
      <c r="P775" s="304"/>
      <c r="Q775" s="304"/>
      <c r="R775" s="304"/>
      <c r="S775" s="304"/>
      <c r="T775" s="304"/>
      <c r="U775" s="304"/>
      <c r="V775" s="304"/>
      <c r="W775" s="304"/>
      <c r="X775" s="304"/>
      <c r="Y775" s="304"/>
      <c r="Z775" s="304"/>
    </row>
    <row r="776" spans="1:26" x14ac:dyDescent="0.2">
      <c r="A776" s="304"/>
      <c r="B776" s="304"/>
      <c r="C776" s="304"/>
      <c r="D776" s="304"/>
      <c r="E776" s="304"/>
      <c r="F776" s="304"/>
      <c r="G776" s="304"/>
      <c r="H776" s="304"/>
      <c r="I776" s="304"/>
      <c r="J776" s="304"/>
      <c r="K776" s="304"/>
      <c r="L776" s="304"/>
      <c r="M776" s="304"/>
      <c r="N776" s="304"/>
      <c r="O776" s="304"/>
      <c r="P776" s="304"/>
      <c r="Q776" s="304"/>
      <c r="R776" s="304"/>
      <c r="S776" s="304"/>
      <c r="T776" s="304"/>
      <c r="U776" s="304"/>
      <c r="V776" s="304"/>
      <c r="W776" s="304"/>
      <c r="X776" s="304"/>
      <c r="Y776" s="304"/>
      <c r="Z776" s="304"/>
    </row>
    <row r="777" spans="1:26" x14ac:dyDescent="0.2">
      <c r="A777" s="304"/>
      <c r="B777" s="304"/>
      <c r="C777" s="304"/>
      <c r="D777" s="304"/>
      <c r="E777" s="304"/>
      <c r="F777" s="304"/>
      <c r="G777" s="304"/>
      <c r="H777" s="304"/>
      <c r="I777" s="304"/>
      <c r="J777" s="304"/>
      <c r="K777" s="304"/>
      <c r="L777" s="304"/>
      <c r="M777" s="304"/>
      <c r="N777" s="304"/>
      <c r="O777" s="304"/>
      <c r="P777" s="304"/>
      <c r="Q777" s="304"/>
      <c r="R777" s="304"/>
      <c r="S777" s="304"/>
      <c r="T777" s="304"/>
      <c r="U777" s="304"/>
      <c r="V777" s="304"/>
      <c r="W777" s="304"/>
      <c r="X777" s="304"/>
      <c r="Y777" s="304"/>
      <c r="Z777" s="304"/>
    </row>
    <row r="778" spans="1:26" x14ac:dyDescent="0.2">
      <c r="A778" s="304"/>
      <c r="B778" s="304"/>
      <c r="C778" s="304"/>
      <c r="D778" s="304"/>
      <c r="E778" s="304"/>
      <c r="F778" s="304"/>
      <c r="G778" s="304"/>
      <c r="H778" s="304"/>
      <c r="I778" s="304"/>
      <c r="J778" s="304"/>
      <c r="K778" s="304"/>
      <c r="L778" s="304"/>
      <c r="M778" s="304"/>
      <c r="N778" s="304"/>
      <c r="O778" s="304"/>
      <c r="P778" s="304"/>
      <c r="Q778" s="304"/>
      <c r="R778" s="304"/>
      <c r="S778" s="304"/>
      <c r="T778" s="304"/>
      <c r="U778" s="304"/>
      <c r="V778" s="304"/>
      <c r="W778" s="304"/>
      <c r="X778" s="304"/>
      <c r="Y778" s="304"/>
      <c r="Z778" s="304"/>
    </row>
    <row r="779" spans="1:26" x14ac:dyDescent="0.2">
      <c r="A779" s="304"/>
      <c r="B779" s="304"/>
      <c r="C779" s="304"/>
      <c r="D779" s="304"/>
      <c r="E779" s="304"/>
      <c r="F779" s="304"/>
      <c r="G779" s="304"/>
      <c r="H779" s="304"/>
      <c r="I779" s="304"/>
      <c r="J779" s="304"/>
      <c r="K779" s="304"/>
      <c r="L779" s="304"/>
      <c r="M779" s="304"/>
      <c r="N779" s="304"/>
      <c r="O779" s="304"/>
      <c r="P779" s="304"/>
      <c r="Q779" s="304"/>
      <c r="R779" s="304"/>
      <c r="S779" s="304"/>
      <c r="T779" s="304"/>
      <c r="U779" s="304"/>
      <c r="V779" s="304"/>
      <c r="W779" s="304"/>
      <c r="X779" s="304"/>
      <c r="Y779" s="304"/>
      <c r="Z779" s="304"/>
    </row>
    <row r="780" spans="1:26" x14ac:dyDescent="0.2">
      <c r="A780" s="304"/>
      <c r="B780" s="304"/>
      <c r="C780" s="304"/>
      <c r="D780" s="304"/>
      <c r="E780" s="304"/>
      <c r="F780" s="304"/>
      <c r="G780" s="304"/>
      <c r="H780" s="304"/>
      <c r="I780" s="304"/>
      <c r="J780" s="304"/>
      <c r="K780" s="304"/>
      <c r="L780" s="304"/>
      <c r="M780" s="304"/>
      <c r="N780" s="304"/>
      <c r="O780" s="304"/>
      <c r="P780" s="304"/>
      <c r="Q780" s="304"/>
      <c r="R780" s="304"/>
      <c r="S780" s="304"/>
      <c r="T780" s="304"/>
      <c r="U780" s="304"/>
      <c r="V780" s="304"/>
      <c r="W780" s="304"/>
      <c r="X780" s="304"/>
      <c r="Y780" s="304"/>
      <c r="Z780" s="304"/>
    </row>
    <row r="781" spans="1:26" x14ac:dyDescent="0.2">
      <c r="A781" s="304"/>
      <c r="B781" s="304"/>
      <c r="C781" s="304"/>
      <c r="D781" s="304"/>
      <c r="E781" s="304"/>
      <c r="F781" s="304"/>
      <c r="G781" s="304"/>
      <c r="H781" s="304"/>
      <c r="I781" s="304"/>
      <c r="J781" s="304"/>
      <c r="K781" s="304"/>
      <c r="L781" s="304"/>
      <c r="M781" s="304"/>
      <c r="N781" s="304"/>
      <c r="O781" s="304"/>
      <c r="P781" s="304"/>
      <c r="Q781" s="304"/>
      <c r="R781" s="304"/>
      <c r="S781" s="304"/>
      <c r="T781" s="304"/>
      <c r="U781" s="304"/>
      <c r="V781" s="304"/>
      <c r="W781" s="304"/>
      <c r="X781" s="304"/>
      <c r="Y781" s="304"/>
      <c r="Z781" s="304"/>
    </row>
    <row r="782" spans="1:26" x14ac:dyDescent="0.2">
      <c r="A782" s="304"/>
      <c r="B782" s="304"/>
      <c r="C782" s="304"/>
      <c r="D782" s="304"/>
      <c r="E782" s="304"/>
      <c r="F782" s="304"/>
      <c r="G782" s="304"/>
      <c r="H782" s="304"/>
      <c r="I782" s="304"/>
      <c r="J782" s="304"/>
      <c r="K782" s="304"/>
      <c r="L782" s="304"/>
      <c r="M782" s="304"/>
      <c r="N782" s="304"/>
      <c r="O782" s="304"/>
      <c r="P782" s="304"/>
      <c r="Q782" s="304"/>
      <c r="R782" s="304"/>
      <c r="S782" s="304"/>
      <c r="T782" s="304"/>
      <c r="U782" s="304"/>
      <c r="V782" s="304"/>
      <c r="W782" s="304"/>
      <c r="X782" s="304"/>
      <c r="Y782" s="304"/>
      <c r="Z782" s="304"/>
    </row>
    <row r="783" spans="1:26" x14ac:dyDescent="0.2">
      <c r="A783" s="304"/>
      <c r="B783" s="304"/>
      <c r="C783" s="304"/>
      <c r="D783" s="304"/>
      <c r="E783" s="304"/>
      <c r="F783" s="304"/>
      <c r="G783" s="304"/>
      <c r="H783" s="304"/>
      <c r="I783" s="304"/>
      <c r="J783" s="304"/>
      <c r="K783" s="304"/>
      <c r="L783" s="304"/>
      <c r="M783" s="304"/>
      <c r="N783" s="304"/>
      <c r="O783" s="304"/>
      <c r="P783" s="304"/>
      <c r="Q783" s="304"/>
      <c r="R783" s="304"/>
      <c r="S783" s="304"/>
      <c r="T783" s="304"/>
      <c r="U783" s="304"/>
      <c r="V783" s="304"/>
      <c r="W783" s="304"/>
      <c r="X783" s="304"/>
      <c r="Y783" s="304"/>
      <c r="Z783" s="304"/>
    </row>
    <row r="784" spans="1:26" x14ac:dyDescent="0.2">
      <c r="A784" s="304"/>
      <c r="B784" s="304"/>
      <c r="C784" s="304"/>
      <c r="D784" s="304"/>
      <c r="E784" s="304"/>
      <c r="F784" s="304"/>
      <c r="G784" s="304"/>
      <c r="H784" s="304"/>
      <c r="I784" s="304"/>
      <c r="J784" s="304"/>
      <c r="K784" s="304"/>
      <c r="L784" s="304"/>
      <c r="M784" s="304"/>
      <c r="N784" s="304"/>
      <c r="O784" s="304"/>
      <c r="P784" s="304"/>
      <c r="Q784" s="304"/>
      <c r="R784" s="304"/>
      <c r="S784" s="304"/>
      <c r="T784" s="304"/>
      <c r="U784" s="304"/>
      <c r="V784" s="304"/>
      <c r="W784" s="304"/>
      <c r="X784" s="304"/>
      <c r="Y784" s="304"/>
      <c r="Z784" s="304"/>
    </row>
    <row r="785" spans="1:26" x14ac:dyDescent="0.2">
      <c r="A785" s="304"/>
      <c r="B785" s="304"/>
      <c r="C785" s="304"/>
      <c r="D785" s="304"/>
      <c r="E785" s="304"/>
      <c r="F785" s="304"/>
      <c r="G785" s="304"/>
      <c r="H785" s="304"/>
      <c r="I785" s="304"/>
      <c r="J785" s="304"/>
      <c r="K785" s="304"/>
      <c r="L785" s="304"/>
      <c r="M785" s="304"/>
      <c r="N785" s="304"/>
      <c r="O785" s="304"/>
      <c r="P785" s="304"/>
      <c r="Q785" s="304"/>
      <c r="R785" s="304"/>
      <c r="S785" s="304"/>
      <c r="T785" s="304"/>
      <c r="U785" s="304"/>
      <c r="V785" s="304"/>
      <c r="W785" s="304"/>
      <c r="X785" s="304"/>
      <c r="Y785" s="304"/>
      <c r="Z785" s="304"/>
    </row>
    <row r="786" spans="1:26" x14ac:dyDescent="0.2">
      <c r="A786" s="304"/>
      <c r="B786" s="304"/>
      <c r="C786" s="304"/>
      <c r="D786" s="304"/>
      <c r="E786" s="304"/>
      <c r="F786" s="304"/>
      <c r="G786" s="304"/>
      <c r="H786" s="304"/>
      <c r="I786" s="304"/>
      <c r="J786" s="304"/>
      <c r="K786" s="304"/>
      <c r="L786" s="304"/>
      <c r="M786" s="304"/>
      <c r="N786" s="304"/>
      <c r="O786" s="304"/>
      <c r="P786" s="304"/>
      <c r="Q786" s="304"/>
      <c r="R786" s="304"/>
      <c r="S786" s="304"/>
      <c r="T786" s="304"/>
      <c r="U786" s="304"/>
      <c r="V786" s="304"/>
      <c r="W786" s="304"/>
      <c r="X786" s="304"/>
      <c r="Y786" s="304"/>
      <c r="Z786" s="304"/>
    </row>
    <row r="787" spans="1:26" x14ac:dyDescent="0.2">
      <c r="A787" s="304"/>
      <c r="B787" s="304"/>
      <c r="C787" s="304"/>
      <c r="D787" s="304"/>
      <c r="E787" s="304"/>
      <c r="F787" s="304"/>
      <c r="G787" s="304"/>
      <c r="H787" s="304"/>
      <c r="I787" s="304"/>
      <c r="J787" s="304"/>
      <c r="K787" s="304"/>
      <c r="L787" s="304"/>
      <c r="M787" s="304"/>
      <c r="N787" s="304"/>
      <c r="O787" s="304"/>
      <c r="P787" s="304"/>
      <c r="Q787" s="304"/>
      <c r="R787" s="304"/>
      <c r="S787" s="304"/>
      <c r="T787" s="304"/>
      <c r="U787" s="304"/>
      <c r="V787" s="304"/>
      <c r="W787" s="304"/>
      <c r="X787" s="304"/>
      <c r="Y787" s="304"/>
      <c r="Z787" s="304"/>
    </row>
    <row r="788" spans="1:26" x14ac:dyDescent="0.2">
      <c r="A788" s="304"/>
      <c r="B788" s="304"/>
      <c r="C788" s="304"/>
      <c r="D788" s="304"/>
      <c r="E788" s="304"/>
      <c r="F788" s="304"/>
      <c r="G788" s="304"/>
      <c r="H788" s="304"/>
      <c r="I788" s="304"/>
      <c r="J788" s="304"/>
      <c r="K788" s="304"/>
      <c r="L788" s="304"/>
      <c r="M788" s="304"/>
      <c r="N788" s="304"/>
      <c r="O788" s="304"/>
      <c r="P788" s="304"/>
      <c r="Q788" s="304"/>
      <c r="R788" s="304"/>
      <c r="S788" s="304"/>
      <c r="T788" s="304"/>
      <c r="U788" s="304"/>
      <c r="V788" s="304"/>
      <c r="W788" s="304"/>
      <c r="X788" s="304"/>
      <c r="Y788" s="304"/>
      <c r="Z788" s="304"/>
    </row>
    <row r="789" spans="1:26" x14ac:dyDescent="0.2">
      <c r="A789" s="304"/>
      <c r="B789" s="304"/>
      <c r="C789" s="304"/>
      <c r="D789" s="304"/>
      <c r="E789" s="304"/>
      <c r="F789" s="304"/>
      <c r="G789" s="304"/>
      <c r="H789" s="304"/>
      <c r="I789" s="304"/>
      <c r="J789" s="304"/>
      <c r="K789" s="304"/>
      <c r="L789" s="304"/>
      <c r="M789" s="304"/>
      <c r="N789" s="304"/>
      <c r="O789" s="304"/>
      <c r="P789" s="304"/>
      <c r="Q789" s="304"/>
      <c r="R789" s="304"/>
      <c r="S789" s="304"/>
      <c r="T789" s="304"/>
      <c r="U789" s="304"/>
      <c r="V789" s="304"/>
      <c r="W789" s="304"/>
      <c r="X789" s="304"/>
      <c r="Y789" s="304"/>
      <c r="Z789" s="304"/>
    </row>
    <row r="790" spans="1:26" x14ac:dyDescent="0.2">
      <c r="A790" s="304"/>
      <c r="B790" s="304"/>
      <c r="C790" s="304"/>
      <c r="D790" s="304"/>
      <c r="E790" s="304"/>
      <c r="F790" s="304"/>
      <c r="G790" s="304"/>
      <c r="H790" s="304"/>
      <c r="I790" s="304"/>
      <c r="J790" s="304"/>
      <c r="K790" s="304"/>
      <c r="L790" s="304"/>
      <c r="M790" s="304"/>
      <c r="N790" s="304"/>
      <c r="O790" s="304"/>
      <c r="P790" s="304"/>
      <c r="Q790" s="304"/>
      <c r="R790" s="304"/>
      <c r="S790" s="304"/>
      <c r="T790" s="304"/>
      <c r="U790" s="304"/>
      <c r="V790" s="304"/>
      <c r="W790" s="304"/>
      <c r="X790" s="304"/>
      <c r="Y790" s="304"/>
      <c r="Z790" s="304"/>
    </row>
    <row r="791" spans="1:26" x14ac:dyDescent="0.2">
      <c r="A791" s="304"/>
      <c r="B791" s="304"/>
      <c r="C791" s="304"/>
      <c r="D791" s="304"/>
      <c r="E791" s="304"/>
      <c r="F791" s="304"/>
      <c r="G791" s="304"/>
      <c r="H791" s="304"/>
      <c r="I791" s="304"/>
      <c r="J791" s="304"/>
      <c r="K791" s="304"/>
      <c r="L791" s="304"/>
      <c r="M791" s="304"/>
      <c r="N791" s="304"/>
      <c r="O791" s="304"/>
      <c r="P791" s="304"/>
      <c r="Q791" s="304"/>
      <c r="R791" s="304"/>
      <c r="S791" s="304"/>
      <c r="T791" s="304"/>
      <c r="U791" s="304"/>
      <c r="V791" s="304"/>
      <c r="W791" s="304"/>
      <c r="X791" s="304"/>
      <c r="Y791" s="304"/>
      <c r="Z791" s="304"/>
    </row>
    <row r="792" spans="1:26" x14ac:dyDescent="0.2">
      <c r="A792" s="304"/>
      <c r="B792" s="304"/>
      <c r="C792" s="304"/>
      <c r="D792" s="304"/>
      <c r="E792" s="304"/>
      <c r="F792" s="304"/>
      <c r="G792" s="304"/>
      <c r="H792" s="304"/>
      <c r="I792" s="304"/>
      <c r="J792" s="304"/>
      <c r="K792" s="304"/>
      <c r="L792" s="304"/>
      <c r="M792" s="304"/>
      <c r="N792" s="304"/>
      <c r="O792" s="304"/>
      <c r="P792" s="304"/>
      <c r="Q792" s="304"/>
      <c r="R792" s="304"/>
      <c r="S792" s="304"/>
      <c r="T792" s="304"/>
      <c r="U792" s="304"/>
      <c r="V792" s="304"/>
      <c r="W792" s="304"/>
      <c r="X792" s="304"/>
      <c r="Y792" s="304"/>
      <c r="Z792" s="304"/>
    </row>
    <row r="793" spans="1:26" x14ac:dyDescent="0.2">
      <c r="A793" s="304"/>
      <c r="B793" s="304"/>
      <c r="C793" s="304"/>
      <c r="D793" s="304"/>
      <c r="E793" s="304"/>
      <c r="F793" s="304"/>
      <c r="G793" s="304"/>
      <c r="H793" s="304"/>
      <c r="I793" s="304"/>
      <c r="J793" s="304"/>
      <c r="K793" s="304"/>
      <c r="L793" s="304"/>
      <c r="M793" s="304"/>
      <c r="N793" s="304"/>
      <c r="O793" s="304"/>
      <c r="P793" s="304"/>
      <c r="Q793" s="304"/>
      <c r="R793" s="304"/>
      <c r="S793" s="304"/>
      <c r="T793" s="304"/>
      <c r="U793" s="304"/>
      <c r="V793" s="304"/>
      <c r="W793" s="304"/>
      <c r="X793" s="304"/>
      <c r="Y793" s="304"/>
      <c r="Z793" s="304"/>
    </row>
    <row r="794" spans="1:26" x14ac:dyDescent="0.2">
      <c r="A794" s="304"/>
      <c r="B794" s="304"/>
      <c r="C794" s="304"/>
      <c r="D794" s="304"/>
      <c r="E794" s="304"/>
      <c r="F794" s="304"/>
      <c r="G794" s="304"/>
      <c r="H794" s="304"/>
      <c r="I794" s="304"/>
      <c r="J794" s="304"/>
      <c r="K794" s="304"/>
      <c r="L794" s="304"/>
      <c r="M794" s="304"/>
      <c r="N794" s="304"/>
      <c r="O794" s="304"/>
      <c r="P794" s="304"/>
      <c r="Q794" s="304"/>
      <c r="R794" s="304"/>
      <c r="S794" s="304"/>
      <c r="T794" s="304"/>
      <c r="U794" s="304"/>
      <c r="V794" s="304"/>
      <c r="W794" s="304"/>
      <c r="X794" s="304"/>
      <c r="Y794" s="304"/>
      <c r="Z794" s="304"/>
    </row>
    <row r="795" spans="1:26" x14ac:dyDescent="0.2">
      <c r="A795" s="304"/>
      <c r="B795" s="304"/>
      <c r="C795" s="304"/>
      <c r="D795" s="304"/>
      <c r="E795" s="304"/>
      <c r="F795" s="304"/>
      <c r="G795" s="304"/>
      <c r="H795" s="304"/>
      <c r="I795" s="304"/>
      <c r="J795" s="304"/>
      <c r="K795" s="304"/>
      <c r="L795" s="304"/>
      <c r="M795" s="304"/>
      <c r="N795" s="304"/>
      <c r="O795" s="304"/>
      <c r="P795" s="304"/>
      <c r="Q795" s="304"/>
      <c r="R795" s="304"/>
      <c r="S795" s="304"/>
      <c r="T795" s="304"/>
      <c r="U795" s="304"/>
      <c r="V795" s="304"/>
      <c r="W795" s="304"/>
      <c r="X795" s="304"/>
      <c r="Y795" s="304"/>
      <c r="Z795" s="304"/>
    </row>
    <row r="796" spans="1:26" x14ac:dyDescent="0.2">
      <c r="A796" s="304"/>
      <c r="B796" s="304"/>
      <c r="C796" s="304"/>
      <c r="D796" s="304"/>
      <c r="E796" s="304"/>
      <c r="F796" s="304"/>
      <c r="G796" s="304"/>
      <c r="H796" s="304"/>
      <c r="I796" s="304"/>
      <c r="J796" s="304"/>
      <c r="K796" s="304"/>
      <c r="L796" s="304"/>
      <c r="M796" s="304"/>
      <c r="N796" s="304"/>
      <c r="O796" s="304"/>
      <c r="P796" s="304"/>
      <c r="Q796" s="304"/>
      <c r="R796" s="304"/>
      <c r="S796" s="304"/>
      <c r="T796" s="304"/>
      <c r="U796" s="304"/>
      <c r="V796" s="304"/>
      <c r="W796" s="304"/>
      <c r="X796" s="304"/>
      <c r="Y796" s="304"/>
      <c r="Z796" s="304"/>
    </row>
    <row r="797" spans="1:26" x14ac:dyDescent="0.2">
      <c r="A797" s="304"/>
      <c r="B797" s="304"/>
      <c r="C797" s="304"/>
      <c r="D797" s="304"/>
      <c r="E797" s="304"/>
      <c r="F797" s="304"/>
      <c r="G797" s="304"/>
      <c r="H797" s="304"/>
      <c r="I797" s="304"/>
      <c r="J797" s="304"/>
      <c r="K797" s="304"/>
      <c r="L797" s="304"/>
      <c r="M797" s="304"/>
      <c r="N797" s="304"/>
      <c r="O797" s="304"/>
      <c r="P797" s="304"/>
      <c r="Q797" s="304"/>
      <c r="R797" s="304"/>
      <c r="S797" s="304"/>
      <c r="T797" s="304"/>
      <c r="U797" s="304"/>
      <c r="V797" s="304"/>
      <c r="W797" s="304"/>
      <c r="X797" s="304"/>
      <c r="Y797" s="304"/>
      <c r="Z797" s="304"/>
    </row>
    <row r="798" spans="1:26" x14ac:dyDescent="0.2">
      <c r="A798" s="304"/>
      <c r="B798" s="304"/>
      <c r="C798" s="304"/>
      <c r="D798" s="304"/>
      <c r="E798" s="304"/>
      <c r="F798" s="304"/>
      <c r="G798" s="304"/>
      <c r="H798" s="304"/>
      <c r="I798" s="304"/>
      <c r="J798" s="304"/>
      <c r="K798" s="304"/>
      <c r="L798" s="304"/>
      <c r="M798" s="304"/>
      <c r="N798" s="304"/>
      <c r="O798" s="304"/>
      <c r="P798" s="304"/>
      <c r="Q798" s="304"/>
      <c r="R798" s="304"/>
      <c r="S798" s="304"/>
      <c r="T798" s="304"/>
      <c r="U798" s="304"/>
      <c r="V798" s="304"/>
      <c r="W798" s="304"/>
      <c r="X798" s="304"/>
      <c r="Y798" s="304"/>
      <c r="Z798" s="304"/>
    </row>
    <row r="799" spans="1:26" x14ac:dyDescent="0.2">
      <c r="A799" s="304"/>
      <c r="B799" s="304"/>
      <c r="C799" s="304"/>
      <c r="D799" s="304"/>
      <c r="E799" s="304"/>
      <c r="F799" s="304"/>
      <c r="G799" s="304"/>
      <c r="H799" s="304"/>
      <c r="I799" s="304"/>
      <c r="J799" s="304"/>
      <c r="K799" s="304"/>
      <c r="L799" s="304"/>
      <c r="M799" s="304"/>
      <c r="N799" s="304"/>
      <c r="O799" s="304"/>
      <c r="P799" s="304"/>
      <c r="Q799" s="304"/>
      <c r="R799" s="304"/>
      <c r="S799" s="304"/>
      <c r="T799" s="304"/>
      <c r="U799" s="304"/>
      <c r="V799" s="304"/>
      <c r="W799" s="304"/>
      <c r="X799" s="304"/>
      <c r="Y799" s="304"/>
      <c r="Z799" s="304"/>
    </row>
    <row r="800" spans="1:26" x14ac:dyDescent="0.2">
      <c r="A800" s="304"/>
      <c r="B800" s="304"/>
      <c r="C800" s="304"/>
      <c r="D800" s="304"/>
      <c r="E800" s="304"/>
      <c r="F800" s="304"/>
      <c r="G800" s="304"/>
      <c r="H800" s="304"/>
      <c r="I800" s="304"/>
      <c r="J800" s="304"/>
      <c r="K800" s="304"/>
      <c r="L800" s="304"/>
      <c r="M800" s="304"/>
      <c r="N800" s="304"/>
      <c r="O800" s="304"/>
      <c r="P800" s="304"/>
      <c r="Q800" s="304"/>
      <c r="R800" s="304"/>
      <c r="S800" s="304"/>
      <c r="T800" s="304"/>
      <c r="U800" s="304"/>
      <c r="V800" s="304"/>
      <c r="W800" s="304"/>
      <c r="X800" s="304"/>
      <c r="Y800" s="304"/>
      <c r="Z800" s="304"/>
    </row>
    <row r="801" spans="1:26" x14ac:dyDescent="0.2">
      <c r="A801" s="304"/>
      <c r="B801" s="304"/>
      <c r="C801" s="304"/>
      <c r="D801" s="304"/>
      <c r="E801" s="304"/>
      <c r="F801" s="304"/>
      <c r="G801" s="304"/>
      <c r="H801" s="304"/>
      <c r="I801" s="304"/>
      <c r="J801" s="304"/>
      <c r="K801" s="304"/>
      <c r="L801" s="304"/>
      <c r="M801" s="304"/>
      <c r="N801" s="304"/>
      <c r="O801" s="304"/>
      <c r="P801" s="304"/>
      <c r="Q801" s="304"/>
      <c r="R801" s="304"/>
      <c r="S801" s="304"/>
      <c r="T801" s="304"/>
      <c r="U801" s="304"/>
      <c r="V801" s="304"/>
      <c r="W801" s="304"/>
      <c r="X801" s="304"/>
      <c r="Y801" s="304"/>
      <c r="Z801" s="304"/>
    </row>
    <row r="802" spans="1:26" x14ac:dyDescent="0.2">
      <c r="A802" s="304"/>
      <c r="B802" s="304"/>
      <c r="C802" s="304"/>
      <c r="D802" s="304"/>
      <c r="E802" s="304"/>
      <c r="F802" s="304"/>
      <c r="G802" s="304"/>
      <c r="H802" s="304"/>
      <c r="I802" s="304"/>
      <c r="J802" s="304"/>
      <c r="K802" s="304"/>
      <c r="L802" s="304"/>
      <c r="M802" s="304"/>
      <c r="N802" s="304"/>
      <c r="O802" s="304"/>
      <c r="P802" s="304"/>
      <c r="Q802" s="304"/>
      <c r="R802" s="304"/>
      <c r="S802" s="304"/>
      <c r="T802" s="304"/>
      <c r="U802" s="304"/>
      <c r="V802" s="304"/>
      <c r="W802" s="304"/>
      <c r="X802" s="304"/>
      <c r="Y802" s="304"/>
      <c r="Z802" s="304"/>
    </row>
    <row r="803" spans="1:26" x14ac:dyDescent="0.2">
      <c r="A803" s="304"/>
      <c r="B803" s="304"/>
      <c r="C803" s="304"/>
      <c r="D803" s="304"/>
      <c r="E803" s="304"/>
      <c r="F803" s="304"/>
      <c r="G803" s="304"/>
      <c r="H803" s="304"/>
      <c r="I803" s="304"/>
      <c r="J803" s="304"/>
      <c r="K803" s="304"/>
      <c r="L803" s="304"/>
      <c r="M803" s="304"/>
      <c r="N803" s="304"/>
      <c r="O803" s="304"/>
      <c r="P803" s="304"/>
      <c r="Q803" s="304"/>
      <c r="R803" s="304"/>
      <c r="S803" s="304"/>
      <c r="T803" s="304"/>
      <c r="U803" s="304"/>
      <c r="V803" s="304"/>
      <c r="W803" s="304"/>
      <c r="X803" s="304"/>
      <c r="Y803" s="304"/>
      <c r="Z803" s="304"/>
    </row>
    <row r="804" spans="1:26" x14ac:dyDescent="0.2">
      <c r="A804" s="304"/>
      <c r="B804" s="304"/>
      <c r="C804" s="304"/>
      <c r="D804" s="304"/>
      <c r="E804" s="304"/>
      <c r="F804" s="304"/>
      <c r="G804" s="304"/>
      <c r="H804" s="304"/>
      <c r="I804" s="304"/>
      <c r="J804" s="304"/>
      <c r="K804" s="304"/>
      <c r="L804" s="304"/>
      <c r="M804" s="304"/>
      <c r="N804" s="304"/>
      <c r="O804" s="304"/>
      <c r="P804" s="304"/>
      <c r="Q804" s="304"/>
      <c r="R804" s="304"/>
      <c r="S804" s="304"/>
      <c r="T804" s="304"/>
      <c r="U804" s="304"/>
      <c r="V804" s="304"/>
      <c r="W804" s="304"/>
      <c r="X804" s="304"/>
      <c r="Y804" s="304"/>
      <c r="Z804" s="304"/>
    </row>
    <row r="805" spans="1:26" x14ac:dyDescent="0.2">
      <c r="A805" s="304"/>
      <c r="B805" s="304"/>
      <c r="C805" s="304"/>
      <c r="D805" s="304"/>
      <c r="E805" s="304"/>
      <c r="F805" s="304"/>
      <c r="G805" s="304"/>
      <c r="H805" s="304"/>
      <c r="I805" s="304"/>
      <c r="J805" s="304"/>
      <c r="K805" s="304"/>
      <c r="L805" s="304"/>
      <c r="M805" s="304"/>
      <c r="N805" s="304"/>
      <c r="O805" s="304"/>
      <c r="P805" s="304"/>
      <c r="Q805" s="304"/>
      <c r="R805" s="304"/>
      <c r="S805" s="304"/>
      <c r="T805" s="304"/>
      <c r="U805" s="304"/>
      <c r="V805" s="304"/>
      <c r="W805" s="304"/>
      <c r="X805" s="304"/>
      <c r="Y805" s="304"/>
      <c r="Z805" s="304"/>
    </row>
    <row r="806" spans="1:26" x14ac:dyDescent="0.2">
      <c r="A806" s="304"/>
      <c r="B806" s="304"/>
      <c r="C806" s="304"/>
      <c r="D806" s="304"/>
      <c r="E806" s="304"/>
      <c r="F806" s="304"/>
      <c r="G806" s="304"/>
      <c r="H806" s="304"/>
      <c r="I806" s="304"/>
      <c r="J806" s="304"/>
      <c r="K806" s="304"/>
      <c r="L806" s="304"/>
      <c r="M806" s="304"/>
      <c r="N806" s="304"/>
      <c r="O806" s="304"/>
      <c r="P806" s="304"/>
      <c r="Q806" s="304"/>
      <c r="R806" s="304"/>
      <c r="S806" s="304"/>
      <c r="T806" s="304"/>
      <c r="U806" s="304"/>
      <c r="V806" s="304"/>
      <c r="W806" s="304"/>
      <c r="X806" s="304"/>
      <c r="Y806" s="304"/>
      <c r="Z806" s="304"/>
    </row>
    <row r="807" spans="1:26" x14ac:dyDescent="0.2">
      <c r="A807" s="304"/>
      <c r="B807" s="304"/>
      <c r="C807" s="304"/>
      <c r="D807" s="304"/>
      <c r="E807" s="304"/>
      <c r="F807" s="304"/>
      <c r="G807" s="304"/>
      <c r="H807" s="304"/>
      <c r="I807" s="304"/>
      <c r="J807" s="304"/>
      <c r="K807" s="304"/>
      <c r="L807" s="304"/>
      <c r="M807" s="304"/>
      <c r="N807" s="304"/>
      <c r="O807" s="304"/>
      <c r="P807" s="304"/>
      <c r="Q807" s="304"/>
      <c r="R807" s="304"/>
      <c r="S807" s="304"/>
      <c r="T807" s="304"/>
      <c r="U807" s="304"/>
      <c r="V807" s="304"/>
      <c r="W807" s="304"/>
      <c r="X807" s="304"/>
      <c r="Y807" s="304"/>
      <c r="Z807" s="304"/>
    </row>
    <row r="808" spans="1:26" x14ac:dyDescent="0.2">
      <c r="A808" s="304"/>
      <c r="B808" s="304"/>
      <c r="C808" s="304"/>
      <c r="D808" s="304"/>
      <c r="E808" s="304"/>
      <c r="F808" s="304"/>
      <c r="G808" s="304"/>
      <c r="H808" s="304"/>
      <c r="I808" s="304"/>
      <c r="J808" s="304"/>
      <c r="K808" s="304"/>
      <c r="L808" s="304"/>
      <c r="M808" s="304"/>
      <c r="N808" s="304"/>
      <c r="O808" s="304"/>
      <c r="P808" s="304"/>
      <c r="Q808" s="304"/>
      <c r="R808" s="304"/>
      <c r="S808" s="304"/>
      <c r="T808" s="304"/>
      <c r="U808" s="304"/>
      <c r="V808" s="304"/>
      <c r="W808" s="304"/>
      <c r="X808" s="304"/>
      <c r="Y808" s="304"/>
      <c r="Z808" s="304"/>
    </row>
    <row r="809" spans="1:26" x14ac:dyDescent="0.2">
      <c r="A809" s="304"/>
      <c r="B809" s="304"/>
      <c r="C809" s="304"/>
      <c r="D809" s="304"/>
      <c r="E809" s="304"/>
      <c r="F809" s="304"/>
      <c r="G809" s="304"/>
      <c r="H809" s="304"/>
      <c r="I809" s="304"/>
      <c r="J809" s="304"/>
      <c r="K809" s="304"/>
      <c r="L809" s="304"/>
      <c r="M809" s="304"/>
      <c r="N809" s="304"/>
      <c r="O809" s="304"/>
      <c r="P809" s="304"/>
      <c r="Q809" s="304"/>
      <c r="R809" s="304"/>
      <c r="S809" s="304"/>
      <c r="T809" s="304"/>
      <c r="U809" s="304"/>
      <c r="V809" s="304"/>
      <c r="W809" s="304"/>
      <c r="X809" s="304"/>
      <c r="Y809" s="304"/>
      <c r="Z809" s="304"/>
    </row>
    <row r="810" spans="1:26" x14ac:dyDescent="0.2">
      <c r="A810" s="304"/>
      <c r="B810" s="304"/>
      <c r="C810" s="304"/>
      <c r="D810" s="304"/>
      <c r="E810" s="304"/>
      <c r="F810" s="304"/>
      <c r="G810" s="304"/>
      <c r="H810" s="304"/>
      <c r="I810" s="304"/>
      <c r="J810" s="304"/>
      <c r="K810" s="304"/>
      <c r="L810" s="304"/>
      <c r="M810" s="304"/>
      <c r="N810" s="304"/>
      <c r="O810" s="304"/>
      <c r="P810" s="304"/>
      <c r="Q810" s="304"/>
      <c r="R810" s="304"/>
      <c r="S810" s="304"/>
      <c r="T810" s="304"/>
      <c r="U810" s="304"/>
      <c r="V810" s="304"/>
      <c r="W810" s="304"/>
      <c r="X810" s="304"/>
      <c r="Y810" s="304"/>
      <c r="Z810" s="304"/>
    </row>
    <row r="811" spans="1:26" x14ac:dyDescent="0.2">
      <c r="A811" s="304"/>
      <c r="B811" s="304"/>
      <c r="C811" s="304"/>
      <c r="D811" s="304"/>
      <c r="E811" s="304"/>
      <c r="F811" s="304"/>
      <c r="G811" s="304"/>
      <c r="H811" s="304"/>
      <c r="I811" s="304"/>
      <c r="J811" s="304"/>
      <c r="K811" s="304"/>
      <c r="L811" s="304"/>
      <c r="M811" s="304"/>
      <c r="N811" s="304"/>
      <c r="O811" s="304"/>
      <c r="P811" s="304"/>
      <c r="Q811" s="304"/>
      <c r="R811" s="304"/>
      <c r="S811" s="304"/>
      <c r="T811" s="304"/>
      <c r="U811" s="304"/>
      <c r="V811" s="304"/>
      <c r="W811" s="304"/>
      <c r="X811" s="304"/>
      <c r="Y811" s="304"/>
      <c r="Z811" s="304"/>
    </row>
    <row r="812" spans="1:26" x14ac:dyDescent="0.2">
      <c r="A812" s="304"/>
      <c r="B812" s="304"/>
      <c r="C812" s="304"/>
      <c r="D812" s="304"/>
      <c r="E812" s="304"/>
      <c r="F812" s="304"/>
      <c r="G812" s="304"/>
      <c r="H812" s="304"/>
      <c r="I812" s="304"/>
      <c r="J812" s="304"/>
      <c r="K812" s="304"/>
      <c r="L812" s="304"/>
      <c r="M812" s="304"/>
      <c r="N812" s="304"/>
      <c r="O812" s="304"/>
      <c r="P812" s="304"/>
      <c r="Q812" s="304"/>
      <c r="R812" s="304"/>
      <c r="S812" s="304"/>
      <c r="T812" s="304"/>
      <c r="U812" s="304"/>
      <c r="V812" s="304"/>
      <c r="W812" s="304"/>
      <c r="X812" s="304"/>
      <c r="Y812" s="304"/>
      <c r="Z812" s="304"/>
    </row>
    <row r="813" spans="1:26" x14ac:dyDescent="0.2">
      <c r="A813" s="304"/>
      <c r="B813" s="304"/>
      <c r="C813" s="304"/>
      <c r="D813" s="304"/>
      <c r="E813" s="304"/>
      <c r="F813" s="304"/>
      <c r="G813" s="304"/>
      <c r="H813" s="304"/>
      <c r="I813" s="304"/>
      <c r="J813" s="304"/>
      <c r="K813" s="304"/>
      <c r="L813" s="304"/>
      <c r="M813" s="304"/>
      <c r="N813" s="304"/>
      <c r="O813" s="304"/>
      <c r="P813" s="304"/>
      <c r="Q813" s="304"/>
      <c r="R813" s="304"/>
      <c r="S813" s="304"/>
      <c r="T813" s="304"/>
      <c r="U813" s="304"/>
      <c r="V813" s="304"/>
      <c r="W813" s="304"/>
      <c r="X813" s="304"/>
      <c r="Y813" s="304"/>
      <c r="Z813" s="304"/>
    </row>
    <row r="814" spans="1:26" x14ac:dyDescent="0.2">
      <c r="A814" s="304"/>
      <c r="B814" s="304"/>
      <c r="C814" s="304"/>
      <c r="D814" s="304"/>
      <c r="E814" s="304"/>
      <c r="F814" s="304"/>
      <c r="G814" s="304"/>
      <c r="H814" s="304"/>
      <c r="I814" s="304"/>
      <c r="J814" s="304"/>
      <c r="K814" s="304"/>
      <c r="L814" s="304"/>
      <c r="M814" s="304"/>
      <c r="N814" s="304"/>
      <c r="O814" s="304"/>
      <c r="P814" s="304"/>
      <c r="Q814" s="304"/>
      <c r="R814" s="304"/>
      <c r="S814" s="304"/>
      <c r="T814" s="304"/>
      <c r="U814" s="304"/>
      <c r="V814" s="304"/>
      <c r="W814" s="304"/>
      <c r="X814" s="304"/>
      <c r="Y814" s="304"/>
      <c r="Z814" s="304"/>
    </row>
    <row r="815" spans="1:26" x14ac:dyDescent="0.2">
      <c r="A815" s="304"/>
      <c r="B815" s="304"/>
      <c r="C815" s="304"/>
      <c r="D815" s="304"/>
      <c r="E815" s="304"/>
      <c r="F815" s="304"/>
      <c r="G815" s="304"/>
      <c r="H815" s="304"/>
      <c r="I815" s="304"/>
      <c r="J815" s="304"/>
      <c r="K815" s="304"/>
      <c r="L815" s="304"/>
      <c r="M815" s="304"/>
      <c r="N815" s="304"/>
      <c r="O815" s="304"/>
      <c r="P815" s="304"/>
      <c r="Q815" s="304"/>
      <c r="R815" s="304"/>
      <c r="S815" s="304"/>
      <c r="T815" s="304"/>
      <c r="U815" s="304"/>
      <c r="V815" s="304"/>
      <c r="W815" s="304"/>
      <c r="X815" s="304"/>
      <c r="Y815" s="304"/>
      <c r="Z815" s="304"/>
    </row>
    <row r="816" spans="1:26" x14ac:dyDescent="0.2">
      <c r="A816" s="304"/>
      <c r="B816" s="304"/>
      <c r="C816" s="304"/>
      <c r="D816" s="304"/>
      <c r="E816" s="304"/>
      <c r="F816" s="304"/>
      <c r="G816" s="304"/>
      <c r="H816" s="304"/>
      <c r="I816" s="304"/>
      <c r="J816" s="304"/>
      <c r="K816" s="304"/>
      <c r="L816" s="304"/>
      <c r="M816" s="304"/>
      <c r="N816" s="304"/>
      <c r="O816" s="304"/>
      <c r="P816" s="304"/>
      <c r="Q816" s="304"/>
      <c r="R816" s="304"/>
      <c r="S816" s="304"/>
      <c r="T816" s="304"/>
      <c r="U816" s="304"/>
      <c r="V816" s="304"/>
      <c r="W816" s="304"/>
      <c r="X816" s="304"/>
      <c r="Y816" s="304"/>
      <c r="Z816" s="304"/>
    </row>
    <row r="817" spans="1:26" x14ac:dyDescent="0.2">
      <c r="A817" s="304"/>
      <c r="B817" s="304"/>
      <c r="C817" s="304"/>
      <c r="D817" s="304"/>
      <c r="E817" s="304"/>
      <c r="F817" s="304"/>
      <c r="G817" s="304"/>
      <c r="H817" s="304"/>
      <c r="I817" s="304"/>
      <c r="J817" s="304"/>
      <c r="K817" s="304"/>
      <c r="L817" s="304"/>
      <c r="M817" s="304"/>
      <c r="N817" s="304"/>
      <c r="O817" s="304"/>
      <c r="P817" s="304"/>
      <c r="Q817" s="304"/>
      <c r="R817" s="304"/>
      <c r="S817" s="304"/>
      <c r="T817" s="304"/>
      <c r="U817" s="304"/>
      <c r="V817" s="304"/>
      <c r="W817" s="304"/>
      <c r="X817" s="304"/>
      <c r="Y817" s="304"/>
      <c r="Z817" s="304"/>
    </row>
    <row r="818" spans="1:26" x14ac:dyDescent="0.2">
      <c r="A818" s="304"/>
      <c r="B818" s="304"/>
      <c r="C818" s="304"/>
      <c r="D818" s="304"/>
      <c r="E818" s="304"/>
      <c r="F818" s="304"/>
      <c r="G818" s="304"/>
      <c r="H818" s="304"/>
      <c r="I818" s="304"/>
      <c r="J818" s="304"/>
      <c r="K818" s="304"/>
      <c r="L818" s="304"/>
      <c r="M818" s="304"/>
      <c r="N818" s="304"/>
      <c r="O818" s="304"/>
      <c r="P818" s="304"/>
      <c r="Q818" s="304"/>
      <c r="R818" s="304"/>
      <c r="S818" s="304"/>
      <c r="T818" s="304"/>
      <c r="U818" s="304"/>
      <c r="V818" s="304"/>
      <c r="W818" s="304"/>
      <c r="X818" s="304"/>
      <c r="Y818" s="304"/>
      <c r="Z818" s="304"/>
    </row>
    <row r="819" spans="1:26" x14ac:dyDescent="0.2">
      <c r="A819" s="304"/>
      <c r="B819" s="304"/>
      <c r="C819" s="304"/>
      <c r="D819" s="304"/>
      <c r="E819" s="304"/>
      <c r="F819" s="304"/>
      <c r="G819" s="304"/>
      <c r="H819" s="304"/>
      <c r="I819" s="304"/>
      <c r="J819" s="304"/>
      <c r="K819" s="304"/>
      <c r="L819" s="304"/>
      <c r="M819" s="304"/>
      <c r="N819" s="304"/>
      <c r="O819" s="304"/>
      <c r="P819" s="304"/>
      <c r="Q819" s="304"/>
      <c r="R819" s="304"/>
      <c r="S819" s="304"/>
      <c r="T819" s="304"/>
      <c r="U819" s="304"/>
      <c r="V819" s="304"/>
      <c r="W819" s="304"/>
      <c r="X819" s="304"/>
      <c r="Y819" s="304"/>
      <c r="Z819" s="304"/>
    </row>
    <row r="820" spans="1:26" x14ac:dyDescent="0.2">
      <c r="A820" s="304"/>
      <c r="B820" s="304"/>
      <c r="C820" s="304"/>
      <c r="D820" s="304"/>
      <c r="E820" s="304"/>
      <c r="F820" s="304"/>
      <c r="G820" s="304"/>
      <c r="H820" s="304"/>
      <c r="I820" s="304"/>
      <c r="J820" s="304"/>
      <c r="K820" s="304"/>
      <c r="L820" s="304"/>
      <c r="M820" s="304"/>
      <c r="N820" s="304"/>
      <c r="O820" s="304"/>
      <c r="P820" s="304"/>
      <c r="Q820" s="304"/>
      <c r="R820" s="304"/>
      <c r="S820" s="304"/>
      <c r="T820" s="304"/>
      <c r="U820" s="304"/>
      <c r="V820" s="304"/>
      <c r="W820" s="304"/>
      <c r="X820" s="304"/>
      <c r="Y820" s="304"/>
      <c r="Z820" s="304"/>
    </row>
    <row r="821" spans="1:26" x14ac:dyDescent="0.2">
      <c r="A821" s="304"/>
      <c r="B821" s="304"/>
      <c r="C821" s="304"/>
      <c r="D821" s="304"/>
      <c r="E821" s="304"/>
      <c r="F821" s="304"/>
      <c r="G821" s="304"/>
      <c r="H821" s="304"/>
      <c r="I821" s="304"/>
      <c r="J821" s="304"/>
      <c r="K821" s="304"/>
      <c r="L821" s="304"/>
      <c r="M821" s="304"/>
      <c r="N821" s="304"/>
      <c r="O821" s="304"/>
      <c r="P821" s="304"/>
      <c r="Q821" s="304"/>
      <c r="R821" s="304"/>
      <c r="S821" s="304"/>
      <c r="T821" s="304"/>
      <c r="U821" s="304"/>
      <c r="V821" s="304"/>
      <c r="W821" s="304"/>
      <c r="X821" s="304"/>
      <c r="Y821" s="304"/>
      <c r="Z821" s="304"/>
    </row>
    <row r="822" spans="1:26" x14ac:dyDescent="0.2">
      <c r="A822" s="304"/>
      <c r="B822" s="304"/>
      <c r="C822" s="304"/>
      <c r="D822" s="304"/>
      <c r="E822" s="304"/>
      <c r="F822" s="304"/>
      <c r="G822" s="304"/>
      <c r="H822" s="304"/>
      <c r="I822" s="304"/>
      <c r="J822" s="304"/>
      <c r="K822" s="304"/>
      <c r="L822" s="304"/>
      <c r="M822" s="304"/>
      <c r="N822" s="304"/>
      <c r="O822" s="304"/>
      <c r="P822" s="304"/>
      <c r="Q822" s="304"/>
      <c r="R822" s="304"/>
      <c r="S822" s="304"/>
      <c r="T822" s="304"/>
      <c r="U822" s="304"/>
      <c r="V822" s="304"/>
      <c r="W822" s="304"/>
      <c r="X822" s="304"/>
      <c r="Y822" s="304"/>
      <c r="Z822" s="304"/>
    </row>
    <row r="823" spans="1:26" x14ac:dyDescent="0.2">
      <c r="A823" s="304"/>
      <c r="B823" s="304"/>
      <c r="C823" s="304"/>
      <c r="D823" s="304"/>
      <c r="E823" s="304"/>
      <c r="F823" s="304"/>
      <c r="G823" s="304"/>
      <c r="H823" s="304"/>
      <c r="I823" s="304"/>
      <c r="J823" s="304"/>
      <c r="K823" s="304"/>
      <c r="L823" s="304"/>
      <c r="M823" s="304"/>
      <c r="N823" s="304"/>
      <c r="O823" s="304"/>
      <c r="P823" s="304"/>
      <c r="Q823" s="304"/>
      <c r="R823" s="304"/>
      <c r="S823" s="304"/>
      <c r="T823" s="304"/>
      <c r="U823" s="304"/>
      <c r="V823" s="304"/>
      <c r="W823" s="304"/>
      <c r="X823" s="304"/>
      <c r="Y823" s="304"/>
      <c r="Z823" s="304"/>
    </row>
    <row r="824" spans="1:26" x14ac:dyDescent="0.2">
      <c r="A824" s="304"/>
      <c r="B824" s="304"/>
      <c r="C824" s="304"/>
      <c r="D824" s="304"/>
      <c r="E824" s="304"/>
      <c r="F824" s="304"/>
      <c r="G824" s="304"/>
      <c r="H824" s="304"/>
      <c r="I824" s="304"/>
      <c r="J824" s="304"/>
      <c r="K824" s="304"/>
      <c r="L824" s="304"/>
      <c r="M824" s="304"/>
      <c r="N824" s="304"/>
      <c r="O824" s="304"/>
      <c r="P824" s="304"/>
      <c r="Q824" s="304"/>
      <c r="R824" s="304"/>
      <c r="S824" s="304"/>
      <c r="T824" s="304"/>
      <c r="U824" s="304"/>
      <c r="V824" s="304"/>
      <c r="W824" s="304"/>
      <c r="X824" s="304"/>
      <c r="Y824" s="304"/>
      <c r="Z824" s="304"/>
    </row>
    <row r="825" spans="1:26" x14ac:dyDescent="0.2">
      <c r="A825" s="304"/>
      <c r="B825" s="304"/>
      <c r="C825" s="304"/>
      <c r="D825" s="304"/>
      <c r="E825" s="304"/>
      <c r="F825" s="304"/>
      <c r="G825" s="304"/>
      <c r="H825" s="304"/>
      <c r="I825" s="304"/>
      <c r="J825" s="304"/>
      <c r="K825" s="304"/>
      <c r="L825" s="304"/>
      <c r="M825" s="304"/>
      <c r="N825" s="304"/>
      <c r="O825" s="304"/>
      <c r="P825" s="304"/>
      <c r="Q825" s="304"/>
      <c r="R825" s="304"/>
      <c r="S825" s="304"/>
      <c r="T825" s="304"/>
      <c r="U825" s="304"/>
      <c r="V825" s="304"/>
      <c r="W825" s="304"/>
      <c r="X825" s="304"/>
      <c r="Y825" s="304"/>
      <c r="Z825" s="304"/>
    </row>
    <row r="826" spans="1:26" x14ac:dyDescent="0.2">
      <c r="A826" s="304"/>
      <c r="B826" s="304"/>
      <c r="C826" s="304"/>
      <c r="D826" s="304"/>
      <c r="E826" s="304"/>
      <c r="F826" s="304"/>
      <c r="G826" s="304"/>
      <c r="H826" s="304"/>
      <c r="I826" s="304"/>
      <c r="J826" s="304"/>
      <c r="K826" s="304"/>
      <c r="L826" s="304"/>
      <c r="M826" s="304"/>
      <c r="N826" s="304"/>
      <c r="O826" s="304"/>
      <c r="P826" s="304"/>
      <c r="Q826" s="304"/>
      <c r="R826" s="304"/>
      <c r="S826" s="304"/>
      <c r="T826" s="304"/>
      <c r="U826" s="304"/>
      <c r="V826" s="304"/>
      <c r="W826" s="304"/>
      <c r="X826" s="304"/>
      <c r="Y826" s="304"/>
      <c r="Z826" s="304"/>
    </row>
    <row r="827" spans="1:26" x14ac:dyDescent="0.2">
      <c r="A827" s="304"/>
      <c r="B827" s="304"/>
      <c r="C827" s="304"/>
      <c r="D827" s="304"/>
      <c r="E827" s="304"/>
      <c r="F827" s="304"/>
      <c r="G827" s="304"/>
      <c r="H827" s="304"/>
      <c r="I827" s="304"/>
      <c r="J827" s="304"/>
      <c r="K827" s="304"/>
      <c r="L827" s="304"/>
      <c r="M827" s="304"/>
      <c r="N827" s="304"/>
      <c r="O827" s="304"/>
      <c r="P827" s="304"/>
      <c r="Q827" s="304"/>
      <c r="R827" s="304"/>
      <c r="S827" s="304"/>
      <c r="T827" s="304"/>
      <c r="U827" s="304"/>
      <c r="V827" s="304"/>
      <c r="W827" s="304"/>
      <c r="X827" s="304"/>
      <c r="Y827" s="304"/>
      <c r="Z827" s="304"/>
    </row>
    <row r="828" spans="1:26" x14ac:dyDescent="0.2">
      <c r="A828" s="304"/>
      <c r="B828" s="304"/>
      <c r="C828" s="304"/>
      <c r="D828" s="304"/>
      <c r="E828" s="304"/>
      <c r="F828" s="304"/>
      <c r="G828" s="304"/>
      <c r="H828" s="304"/>
      <c r="I828" s="304"/>
      <c r="J828" s="304"/>
      <c r="K828" s="304"/>
      <c r="L828" s="304"/>
      <c r="M828" s="304"/>
      <c r="N828" s="304"/>
      <c r="O828" s="304"/>
      <c r="P828" s="304"/>
      <c r="Q828" s="304"/>
      <c r="R828" s="304"/>
      <c r="S828" s="304"/>
      <c r="T828" s="304"/>
      <c r="U828" s="304"/>
      <c r="V828" s="304"/>
      <c r="W828" s="304"/>
      <c r="X828" s="304"/>
      <c r="Y828" s="304"/>
      <c r="Z828" s="304"/>
    </row>
    <row r="829" spans="1:26" x14ac:dyDescent="0.2">
      <c r="A829" s="304"/>
      <c r="B829" s="304"/>
      <c r="C829" s="304"/>
      <c r="D829" s="304"/>
      <c r="E829" s="304"/>
      <c r="F829" s="304"/>
      <c r="G829" s="304"/>
      <c r="H829" s="304"/>
      <c r="I829" s="304"/>
      <c r="J829" s="304"/>
      <c r="K829" s="304"/>
      <c r="L829" s="304"/>
      <c r="M829" s="304"/>
      <c r="N829" s="304"/>
      <c r="O829" s="304"/>
      <c r="P829" s="304"/>
      <c r="Q829" s="304"/>
      <c r="R829" s="304"/>
      <c r="S829" s="304"/>
      <c r="T829" s="304"/>
      <c r="U829" s="304"/>
      <c r="V829" s="304"/>
      <c r="W829" s="304"/>
      <c r="X829" s="304"/>
      <c r="Y829" s="304"/>
      <c r="Z829" s="304"/>
    </row>
    <row r="830" spans="1:26" x14ac:dyDescent="0.2">
      <c r="A830" s="304"/>
      <c r="B830" s="304"/>
      <c r="C830" s="304"/>
      <c r="D830" s="304"/>
      <c r="E830" s="304"/>
      <c r="F830" s="304"/>
      <c r="G830" s="304"/>
      <c r="H830" s="304"/>
      <c r="I830" s="304"/>
      <c r="J830" s="304"/>
      <c r="K830" s="304"/>
      <c r="L830" s="304"/>
      <c r="M830" s="304"/>
      <c r="N830" s="304"/>
      <c r="O830" s="304"/>
      <c r="P830" s="304"/>
      <c r="Q830" s="304"/>
      <c r="R830" s="304"/>
      <c r="S830" s="304"/>
      <c r="T830" s="304"/>
      <c r="U830" s="304"/>
      <c r="V830" s="304"/>
      <c r="W830" s="304"/>
      <c r="X830" s="304"/>
      <c r="Y830" s="304"/>
      <c r="Z830" s="304"/>
    </row>
    <row r="831" spans="1:26" x14ac:dyDescent="0.2">
      <c r="A831" s="304"/>
      <c r="B831" s="304"/>
      <c r="C831" s="304"/>
      <c r="D831" s="304"/>
      <c r="E831" s="304"/>
      <c r="F831" s="304"/>
      <c r="G831" s="304"/>
      <c r="H831" s="304"/>
      <c r="I831" s="304"/>
      <c r="J831" s="304"/>
      <c r="K831" s="304"/>
      <c r="L831" s="304"/>
      <c r="M831" s="304"/>
      <c r="N831" s="304"/>
      <c r="O831" s="304"/>
      <c r="P831" s="304"/>
      <c r="Q831" s="304"/>
      <c r="R831" s="304"/>
      <c r="S831" s="304"/>
      <c r="T831" s="304"/>
      <c r="U831" s="304"/>
      <c r="V831" s="304"/>
      <c r="W831" s="304"/>
      <c r="X831" s="304"/>
      <c r="Y831" s="304"/>
      <c r="Z831" s="304"/>
    </row>
    <row r="832" spans="1:26" x14ac:dyDescent="0.2">
      <c r="A832" s="304"/>
      <c r="B832" s="304"/>
      <c r="C832" s="304"/>
      <c r="D832" s="304"/>
      <c r="E832" s="304"/>
      <c r="F832" s="304"/>
      <c r="G832" s="304"/>
      <c r="H832" s="304"/>
      <c r="I832" s="304"/>
      <c r="J832" s="304"/>
      <c r="K832" s="304"/>
      <c r="L832" s="304"/>
      <c r="M832" s="304"/>
      <c r="N832" s="304"/>
      <c r="O832" s="304"/>
      <c r="P832" s="304"/>
      <c r="Q832" s="304"/>
      <c r="R832" s="304"/>
      <c r="S832" s="304"/>
      <c r="T832" s="304"/>
      <c r="U832" s="304"/>
      <c r="V832" s="304"/>
      <c r="W832" s="304"/>
      <c r="X832" s="304"/>
      <c r="Y832" s="304"/>
      <c r="Z832" s="304"/>
    </row>
    <row r="833" spans="1:26" x14ac:dyDescent="0.2">
      <c r="A833" s="304"/>
      <c r="B833" s="304"/>
      <c r="C833" s="304"/>
      <c r="D833" s="304"/>
      <c r="E833" s="304"/>
      <c r="F833" s="304"/>
      <c r="G833" s="304"/>
      <c r="H833" s="304"/>
      <c r="I833" s="304"/>
      <c r="J833" s="304"/>
      <c r="K833" s="304"/>
      <c r="L833" s="304"/>
      <c r="M833" s="304"/>
      <c r="N833" s="304"/>
      <c r="O833" s="304"/>
      <c r="P833" s="304"/>
      <c r="Q833" s="304"/>
      <c r="R833" s="304"/>
      <c r="S833" s="304"/>
      <c r="T833" s="304"/>
      <c r="U833" s="304"/>
      <c r="V833" s="304"/>
      <c r="W833" s="304"/>
      <c r="X833" s="304"/>
      <c r="Y833" s="304"/>
      <c r="Z833" s="304"/>
    </row>
    <row r="834" spans="1:26" x14ac:dyDescent="0.2">
      <c r="A834" s="304"/>
      <c r="B834" s="304"/>
      <c r="C834" s="304"/>
      <c r="D834" s="304"/>
      <c r="E834" s="304"/>
      <c r="F834" s="304"/>
      <c r="G834" s="304"/>
      <c r="H834" s="304"/>
      <c r="I834" s="304"/>
      <c r="J834" s="304"/>
      <c r="K834" s="304"/>
      <c r="L834" s="304"/>
      <c r="M834" s="304"/>
      <c r="N834" s="304"/>
      <c r="O834" s="304"/>
      <c r="P834" s="304"/>
      <c r="Q834" s="304"/>
      <c r="R834" s="304"/>
      <c r="S834" s="304"/>
      <c r="T834" s="304"/>
      <c r="U834" s="304"/>
      <c r="V834" s="304"/>
      <c r="W834" s="304"/>
      <c r="X834" s="304"/>
      <c r="Y834" s="304"/>
      <c r="Z834" s="304"/>
    </row>
    <row r="835" spans="1:26" x14ac:dyDescent="0.2">
      <c r="A835" s="304"/>
      <c r="B835" s="304"/>
      <c r="C835" s="304"/>
      <c r="D835" s="304"/>
      <c r="E835" s="304"/>
      <c r="F835" s="304"/>
      <c r="G835" s="304"/>
      <c r="H835" s="304"/>
      <c r="I835" s="304"/>
      <c r="J835" s="304"/>
      <c r="K835" s="304"/>
      <c r="L835" s="304"/>
      <c r="M835" s="304"/>
      <c r="N835" s="304"/>
      <c r="O835" s="304"/>
      <c r="P835" s="304"/>
      <c r="Q835" s="304"/>
      <c r="R835" s="304"/>
      <c r="S835" s="304"/>
      <c r="T835" s="304"/>
      <c r="U835" s="304"/>
      <c r="V835" s="304"/>
      <c r="W835" s="304"/>
      <c r="X835" s="304"/>
      <c r="Y835" s="304"/>
      <c r="Z835" s="304"/>
    </row>
    <row r="836" spans="1:26" x14ac:dyDescent="0.2">
      <c r="A836" s="304"/>
      <c r="B836" s="304"/>
      <c r="C836" s="304"/>
      <c r="D836" s="304"/>
      <c r="E836" s="304"/>
      <c r="F836" s="304"/>
      <c r="G836" s="304"/>
      <c r="H836" s="304"/>
      <c r="I836" s="304"/>
      <c r="J836" s="304"/>
      <c r="K836" s="304"/>
      <c r="L836" s="304"/>
      <c r="M836" s="304"/>
      <c r="N836" s="304"/>
      <c r="O836" s="304"/>
      <c r="P836" s="304"/>
      <c r="Q836" s="304"/>
      <c r="R836" s="304"/>
      <c r="S836" s="304"/>
      <c r="T836" s="304"/>
      <c r="U836" s="304"/>
      <c r="V836" s="304"/>
      <c r="W836" s="304"/>
      <c r="X836" s="304"/>
      <c r="Y836" s="304"/>
      <c r="Z836" s="304"/>
    </row>
    <row r="837" spans="1:26" x14ac:dyDescent="0.2">
      <c r="A837" s="304"/>
      <c r="B837" s="304"/>
      <c r="C837" s="304"/>
      <c r="D837" s="304"/>
      <c r="E837" s="304"/>
      <c r="F837" s="304"/>
      <c r="G837" s="304"/>
      <c r="H837" s="304"/>
      <c r="I837" s="304"/>
      <c r="J837" s="304"/>
      <c r="K837" s="304"/>
      <c r="L837" s="304"/>
      <c r="M837" s="304"/>
      <c r="N837" s="304"/>
      <c r="O837" s="304"/>
      <c r="P837" s="304"/>
      <c r="Q837" s="304"/>
      <c r="R837" s="304"/>
      <c r="S837" s="304"/>
      <c r="T837" s="304"/>
      <c r="U837" s="304"/>
      <c r="V837" s="304"/>
      <c r="W837" s="304"/>
      <c r="X837" s="304"/>
      <c r="Y837" s="304"/>
      <c r="Z837" s="304"/>
    </row>
    <row r="838" spans="1:26" x14ac:dyDescent="0.2">
      <c r="A838" s="304"/>
      <c r="B838" s="304"/>
      <c r="C838" s="304"/>
      <c r="D838" s="304"/>
      <c r="E838" s="304"/>
      <c r="F838" s="304"/>
      <c r="G838" s="304"/>
      <c r="H838" s="304"/>
      <c r="I838" s="304"/>
      <c r="J838" s="304"/>
      <c r="K838" s="304"/>
      <c r="L838" s="304"/>
      <c r="M838" s="304"/>
      <c r="N838" s="304"/>
      <c r="O838" s="304"/>
      <c r="P838" s="304"/>
      <c r="Q838" s="304"/>
      <c r="R838" s="304"/>
      <c r="S838" s="304"/>
      <c r="T838" s="304"/>
      <c r="U838" s="304"/>
      <c r="V838" s="304"/>
      <c r="W838" s="304"/>
      <c r="X838" s="304"/>
      <c r="Y838" s="304"/>
      <c r="Z838" s="304"/>
    </row>
    <row r="839" spans="1:26" x14ac:dyDescent="0.2">
      <c r="A839" s="304"/>
      <c r="B839" s="304"/>
      <c r="C839" s="304"/>
      <c r="D839" s="304"/>
      <c r="E839" s="304"/>
      <c r="F839" s="304"/>
      <c r="G839" s="304"/>
      <c r="H839" s="304"/>
      <c r="I839" s="304"/>
      <c r="J839" s="304"/>
      <c r="K839" s="304"/>
      <c r="L839" s="304"/>
      <c r="M839" s="304"/>
      <c r="N839" s="304"/>
      <c r="O839" s="304"/>
      <c r="P839" s="304"/>
      <c r="Q839" s="304"/>
      <c r="R839" s="304"/>
      <c r="S839" s="304"/>
      <c r="T839" s="304"/>
      <c r="U839" s="304"/>
      <c r="V839" s="304"/>
      <c r="W839" s="304"/>
      <c r="X839" s="304"/>
      <c r="Y839" s="304"/>
      <c r="Z839" s="304"/>
    </row>
    <row r="840" spans="1:26" x14ac:dyDescent="0.2">
      <c r="A840" s="304"/>
      <c r="B840" s="304"/>
      <c r="C840" s="304"/>
      <c r="D840" s="304"/>
      <c r="E840" s="304"/>
      <c r="F840" s="304"/>
      <c r="G840" s="304"/>
      <c r="H840" s="304"/>
      <c r="I840" s="304"/>
      <c r="J840" s="304"/>
      <c r="K840" s="304"/>
      <c r="L840" s="304"/>
      <c r="M840" s="304"/>
      <c r="N840" s="304"/>
      <c r="O840" s="304"/>
      <c r="P840" s="304"/>
      <c r="Q840" s="304"/>
      <c r="R840" s="304"/>
      <c r="S840" s="304"/>
      <c r="T840" s="304"/>
      <c r="U840" s="304"/>
      <c r="V840" s="304"/>
      <c r="W840" s="304"/>
      <c r="X840" s="304"/>
      <c r="Y840" s="304"/>
      <c r="Z840" s="304"/>
    </row>
    <row r="841" spans="1:26" x14ac:dyDescent="0.2">
      <c r="A841" s="304"/>
      <c r="B841" s="304"/>
      <c r="C841" s="304"/>
      <c r="D841" s="304"/>
      <c r="E841" s="304"/>
      <c r="F841" s="304"/>
      <c r="G841" s="304"/>
      <c r="H841" s="304"/>
      <c r="I841" s="304"/>
      <c r="J841" s="304"/>
      <c r="K841" s="304"/>
      <c r="L841" s="304"/>
      <c r="M841" s="304"/>
      <c r="N841" s="304"/>
      <c r="O841" s="304"/>
      <c r="P841" s="304"/>
      <c r="Q841" s="304"/>
      <c r="R841" s="304"/>
      <c r="S841" s="304"/>
      <c r="T841" s="304"/>
      <c r="U841" s="304"/>
      <c r="V841" s="304"/>
      <c r="W841" s="304"/>
      <c r="X841" s="304"/>
      <c r="Y841" s="304"/>
      <c r="Z841" s="304"/>
    </row>
    <row r="842" spans="1:26" x14ac:dyDescent="0.2">
      <c r="A842" s="304"/>
      <c r="B842" s="304"/>
      <c r="C842" s="304"/>
      <c r="D842" s="304"/>
      <c r="E842" s="304"/>
      <c r="F842" s="304"/>
      <c r="G842" s="304"/>
      <c r="H842" s="304"/>
      <c r="I842" s="304"/>
      <c r="J842" s="304"/>
      <c r="K842" s="304"/>
      <c r="L842" s="304"/>
      <c r="M842" s="304"/>
      <c r="N842" s="304"/>
      <c r="O842" s="304"/>
      <c r="P842" s="304"/>
      <c r="Q842" s="304"/>
      <c r="R842" s="304"/>
      <c r="S842" s="304"/>
      <c r="T842" s="304"/>
      <c r="U842" s="304"/>
      <c r="V842" s="304"/>
      <c r="W842" s="304"/>
      <c r="X842" s="304"/>
      <c r="Y842" s="304"/>
      <c r="Z842" s="304"/>
    </row>
    <row r="843" spans="1:26" x14ac:dyDescent="0.2">
      <c r="A843" s="304"/>
      <c r="B843" s="304"/>
      <c r="C843" s="304"/>
      <c r="D843" s="304"/>
      <c r="E843" s="304"/>
      <c r="F843" s="304"/>
      <c r="G843" s="304"/>
      <c r="H843" s="304"/>
      <c r="I843" s="304"/>
      <c r="J843" s="304"/>
      <c r="K843" s="304"/>
      <c r="L843" s="304"/>
      <c r="M843" s="304"/>
      <c r="N843" s="304"/>
      <c r="O843" s="304"/>
      <c r="P843" s="304"/>
      <c r="Q843" s="304"/>
      <c r="R843" s="304"/>
      <c r="S843" s="304"/>
      <c r="T843" s="304"/>
      <c r="U843" s="304"/>
      <c r="V843" s="304"/>
      <c r="W843" s="304"/>
      <c r="X843" s="304"/>
      <c r="Y843" s="304"/>
      <c r="Z843" s="304"/>
    </row>
    <row r="844" spans="1:26" x14ac:dyDescent="0.2">
      <c r="A844" s="304"/>
      <c r="B844" s="304"/>
      <c r="C844" s="304"/>
      <c r="D844" s="304"/>
      <c r="E844" s="304"/>
      <c r="F844" s="304"/>
      <c r="G844" s="304"/>
      <c r="H844" s="304"/>
      <c r="I844" s="304"/>
      <c r="J844" s="304"/>
      <c r="K844" s="304"/>
      <c r="L844" s="304"/>
      <c r="M844" s="304"/>
      <c r="N844" s="304"/>
      <c r="O844" s="304"/>
      <c r="P844" s="304"/>
      <c r="Q844" s="304"/>
      <c r="R844" s="304"/>
      <c r="S844" s="304"/>
      <c r="T844" s="304"/>
      <c r="U844" s="304"/>
      <c r="V844" s="304"/>
      <c r="W844" s="304"/>
      <c r="X844" s="304"/>
      <c r="Y844" s="304"/>
      <c r="Z844" s="304"/>
    </row>
    <row r="845" spans="1:26" x14ac:dyDescent="0.2">
      <c r="A845" s="304"/>
      <c r="B845" s="304"/>
      <c r="C845" s="304"/>
      <c r="D845" s="304"/>
      <c r="E845" s="304"/>
      <c r="F845" s="304"/>
      <c r="G845" s="304"/>
      <c r="H845" s="304"/>
      <c r="I845" s="304"/>
      <c r="J845" s="304"/>
      <c r="K845" s="304"/>
      <c r="L845" s="304"/>
      <c r="M845" s="304"/>
      <c r="N845" s="304"/>
      <c r="O845" s="304"/>
      <c r="P845" s="304"/>
      <c r="Q845" s="304"/>
      <c r="R845" s="304"/>
      <c r="S845" s="304"/>
      <c r="T845" s="304"/>
      <c r="U845" s="304"/>
      <c r="V845" s="304"/>
      <c r="W845" s="304"/>
      <c r="X845" s="304"/>
      <c r="Y845" s="304"/>
      <c r="Z845" s="304"/>
    </row>
    <row r="846" spans="1:26" x14ac:dyDescent="0.2">
      <c r="A846" s="304"/>
      <c r="B846" s="304"/>
      <c r="C846" s="304"/>
      <c r="D846" s="304"/>
      <c r="E846" s="304"/>
      <c r="F846" s="304"/>
      <c r="G846" s="304"/>
      <c r="H846" s="304"/>
      <c r="I846" s="304"/>
      <c r="J846" s="304"/>
      <c r="K846" s="304"/>
      <c r="L846" s="304"/>
      <c r="M846" s="304"/>
      <c r="N846" s="304"/>
      <c r="O846" s="304"/>
      <c r="P846" s="304"/>
      <c r="Q846" s="304"/>
      <c r="R846" s="304"/>
      <c r="S846" s="304"/>
      <c r="T846" s="304"/>
      <c r="U846" s="304"/>
      <c r="V846" s="304"/>
      <c r="W846" s="304"/>
      <c r="X846" s="304"/>
      <c r="Y846" s="304"/>
      <c r="Z846" s="304"/>
    </row>
    <row r="847" spans="1:26" x14ac:dyDescent="0.2">
      <c r="A847" s="304"/>
      <c r="B847" s="304"/>
      <c r="C847" s="304"/>
      <c r="D847" s="304"/>
      <c r="E847" s="304"/>
      <c r="F847" s="304"/>
      <c r="G847" s="304"/>
      <c r="H847" s="304"/>
      <c r="I847" s="304"/>
      <c r="J847" s="304"/>
      <c r="K847" s="304"/>
      <c r="L847" s="304"/>
      <c r="M847" s="304"/>
      <c r="N847" s="304"/>
      <c r="O847" s="304"/>
      <c r="P847" s="304"/>
      <c r="Q847" s="304"/>
      <c r="R847" s="304"/>
      <c r="S847" s="304"/>
      <c r="T847" s="304"/>
      <c r="U847" s="304"/>
      <c r="V847" s="304"/>
      <c r="W847" s="304"/>
      <c r="X847" s="304"/>
      <c r="Y847" s="304"/>
      <c r="Z847" s="304"/>
    </row>
    <row r="848" spans="1:26" x14ac:dyDescent="0.2">
      <c r="A848" s="304"/>
      <c r="B848" s="304"/>
      <c r="C848" s="304"/>
      <c r="D848" s="304"/>
      <c r="E848" s="304"/>
      <c r="F848" s="304"/>
      <c r="G848" s="304"/>
      <c r="H848" s="304"/>
      <c r="I848" s="304"/>
      <c r="J848" s="304"/>
      <c r="K848" s="304"/>
      <c r="L848" s="304"/>
      <c r="M848" s="304"/>
      <c r="N848" s="304"/>
      <c r="O848" s="304"/>
      <c r="P848" s="304"/>
      <c r="Q848" s="304"/>
      <c r="R848" s="304"/>
      <c r="S848" s="304"/>
      <c r="T848" s="304"/>
      <c r="U848" s="304"/>
      <c r="V848" s="304"/>
      <c r="W848" s="304"/>
      <c r="X848" s="304"/>
      <c r="Y848" s="304"/>
      <c r="Z848" s="304"/>
    </row>
    <row r="849" spans="1:26" x14ac:dyDescent="0.2">
      <c r="A849" s="304"/>
      <c r="B849" s="304"/>
      <c r="C849" s="304"/>
      <c r="D849" s="304"/>
      <c r="E849" s="304"/>
      <c r="F849" s="304"/>
      <c r="G849" s="304"/>
      <c r="H849" s="304"/>
      <c r="I849" s="304"/>
      <c r="J849" s="304"/>
      <c r="K849" s="304"/>
      <c r="L849" s="304"/>
      <c r="M849" s="304"/>
      <c r="N849" s="304"/>
      <c r="O849" s="304"/>
      <c r="P849" s="304"/>
      <c r="Q849" s="304"/>
      <c r="R849" s="304"/>
      <c r="S849" s="304"/>
      <c r="T849" s="304"/>
      <c r="U849" s="304"/>
      <c r="V849" s="304"/>
      <c r="W849" s="304"/>
      <c r="X849" s="304"/>
      <c r="Y849" s="304"/>
      <c r="Z849" s="304"/>
    </row>
    <row r="850" spans="1:26" x14ac:dyDescent="0.2">
      <c r="A850" s="304"/>
      <c r="B850" s="304"/>
      <c r="C850" s="304"/>
      <c r="D850" s="304"/>
      <c r="E850" s="304"/>
      <c r="F850" s="304"/>
      <c r="G850" s="304"/>
      <c r="H850" s="304"/>
      <c r="I850" s="304"/>
      <c r="J850" s="304"/>
      <c r="K850" s="304"/>
      <c r="L850" s="304"/>
      <c r="M850" s="304"/>
      <c r="N850" s="304"/>
      <c r="O850" s="304"/>
      <c r="P850" s="304"/>
      <c r="Q850" s="304"/>
      <c r="R850" s="304"/>
      <c r="S850" s="304"/>
      <c r="T850" s="304"/>
      <c r="U850" s="304"/>
      <c r="V850" s="304"/>
      <c r="W850" s="304"/>
      <c r="X850" s="304"/>
      <c r="Y850" s="304"/>
      <c r="Z850" s="304"/>
    </row>
    <row r="851" spans="1:26" x14ac:dyDescent="0.2">
      <c r="A851" s="304"/>
      <c r="B851" s="304"/>
      <c r="C851" s="304"/>
      <c r="D851" s="304"/>
      <c r="E851" s="304"/>
      <c r="F851" s="304"/>
      <c r="G851" s="304"/>
      <c r="H851" s="304"/>
      <c r="I851" s="304"/>
      <c r="J851" s="304"/>
      <c r="K851" s="304"/>
      <c r="L851" s="304"/>
      <c r="M851" s="304"/>
      <c r="N851" s="304"/>
      <c r="O851" s="304"/>
      <c r="P851" s="304"/>
      <c r="Q851" s="304"/>
      <c r="R851" s="304"/>
      <c r="S851" s="304"/>
      <c r="T851" s="304"/>
      <c r="U851" s="304"/>
      <c r="V851" s="304"/>
      <c r="W851" s="304"/>
      <c r="X851" s="304"/>
      <c r="Y851" s="304"/>
      <c r="Z851" s="304"/>
    </row>
    <row r="852" spans="1:26" x14ac:dyDescent="0.2">
      <c r="A852" s="304"/>
      <c r="B852" s="304"/>
      <c r="C852" s="304"/>
      <c r="D852" s="304"/>
      <c r="E852" s="304"/>
      <c r="F852" s="304"/>
      <c r="G852" s="304"/>
      <c r="H852" s="304"/>
      <c r="I852" s="304"/>
      <c r="J852" s="304"/>
      <c r="K852" s="304"/>
      <c r="L852" s="304"/>
      <c r="M852" s="304"/>
      <c r="N852" s="304"/>
      <c r="O852" s="304"/>
      <c r="P852" s="304"/>
      <c r="Q852" s="304"/>
      <c r="R852" s="304"/>
      <c r="S852" s="304"/>
      <c r="T852" s="304"/>
      <c r="U852" s="304"/>
      <c r="V852" s="304"/>
      <c r="W852" s="304"/>
      <c r="X852" s="304"/>
      <c r="Y852" s="304"/>
      <c r="Z852" s="304"/>
    </row>
    <row r="853" spans="1:26" x14ac:dyDescent="0.2">
      <c r="A853" s="304"/>
      <c r="B853" s="304"/>
      <c r="C853" s="304"/>
      <c r="D853" s="304"/>
      <c r="E853" s="304"/>
      <c r="F853" s="304"/>
      <c r="G853" s="304"/>
      <c r="H853" s="304"/>
      <c r="I853" s="304"/>
      <c r="J853" s="304"/>
      <c r="K853" s="304"/>
      <c r="L853" s="304"/>
      <c r="M853" s="304"/>
      <c r="N853" s="304"/>
      <c r="O853" s="304"/>
      <c r="P853" s="304"/>
      <c r="Q853" s="304"/>
      <c r="R853" s="304"/>
      <c r="S853" s="304"/>
      <c r="T853" s="304"/>
      <c r="U853" s="304"/>
      <c r="V853" s="304"/>
      <c r="W853" s="304"/>
      <c r="X853" s="304"/>
      <c r="Y853" s="304"/>
      <c r="Z853" s="304"/>
    </row>
    <row r="854" spans="1:26" x14ac:dyDescent="0.2">
      <c r="A854" s="304"/>
      <c r="B854" s="304"/>
      <c r="C854" s="304"/>
      <c r="D854" s="304"/>
      <c r="E854" s="304"/>
      <c r="F854" s="304"/>
      <c r="G854" s="304"/>
      <c r="H854" s="304"/>
      <c r="I854" s="304"/>
      <c r="J854" s="304"/>
      <c r="K854" s="304"/>
      <c r="L854" s="304"/>
      <c r="M854" s="304"/>
      <c r="N854" s="304"/>
      <c r="O854" s="304"/>
      <c r="P854" s="304"/>
      <c r="Q854" s="304"/>
      <c r="R854" s="304"/>
      <c r="S854" s="304"/>
      <c r="T854" s="304"/>
      <c r="U854" s="304"/>
      <c r="V854" s="304"/>
      <c r="W854" s="304"/>
      <c r="X854" s="304"/>
      <c r="Y854" s="304"/>
      <c r="Z854" s="304"/>
    </row>
    <row r="855" spans="1:26" x14ac:dyDescent="0.2">
      <c r="A855" s="304"/>
      <c r="B855" s="304"/>
      <c r="C855" s="304"/>
      <c r="D855" s="304"/>
      <c r="E855" s="304"/>
      <c r="F855" s="304"/>
      <c r="G855" s="304"/>
      <c r="H855" s="304"/>
      <c r="I855" s="304"/>
      <c r="J855" s="304"/>
      <c r="K855" s="304"/>
      <c r="L855" s="304"/>
      <c r="M855" s="304"/>
      <c r="N855" s="304"/>
      <c r="O855" s="304"/>
      <c r="P855" s="304"/>
      <c r="Q855" s="304"/>
      <c r="R855" s="304"/>
      <c r="S855" s="304"/>
      <c r="T855" s="304"/>
      <c r="U855" s="304"/>
      <c r="V855" s="304"/>
      <c r="W855" s="304"/>
      <c r="X855" s="304"/>
      <c r="Y855" s="304"/>
      <c r="Z855" s="304"/>
    </row>
    <row r="856" spans="1:26" x14ac:dyDescent="0.2">
      <c r="A856" s="304"/>
      <c r="B856" s="304"/>
      <c r="C856" s="304"/>
      <c r="D856" s="304"/>
      <c r="E856" s="304"/>
      <c r="F856" s="304"/>
      <c r="G856" s="304"/>
      <c r="H856" s="304"/>
      <c r="I856" s="304"/>
      <c r="J856" s="304"/>
      <c r="K856" s="304"/>
      <c r="L856" s="304"/>
      <c r="M856" s="304"/>
      <c r="N856" s="304"/>
      <c r="O856" s="304"/>
      <c r="P856" s="304"/>
      <c r="Q856" s="304"/>
      <c r="R856" s="304"/>
      <c r="S856" s="304"/>
      <c r="T856" s="304"/>
      <c r="U856" s="304"/>
      <c r="V856" s="304"/>
      <c r="W856" s="304"/>
      <c r="X856" s="304"/>
      <c r="Y856" s="304"/>
      <c r="Z856" s="304"/>
    </row>
    <row r="857" spans="1:26" x14ac:dyDescent="0.2">
      <c r="A857" s="304"/>
      <c r="B857" s="304"/>
      <c r="C857" s="304"/>
      <c r="D857" s="304"/>
      <c r="E857" s="304"/>
      <c r="F857" s="304"/>
      <c r="G857" s="304"/>
      <c r="H857" s="304"/>
      <c r="I857" s="304"/>
      <c r="J857" s="304"/>
      <c r="K857" s="304"/>
      <c r="L857" s="304"/>
      <c r="M857" s="304"/>
      <c r="N857" s="304"/>
      <c r="O857" s="304"/>
      <c r="P857" s="304"/>
      <c r="Q857" s="304"/>
      <c r="R857" s="304"/>
      <c r="S857" s="304"/>
      <c r="T857" s="304"/>
      <c r="U857" s="304"/>
      <c r="V857" s="304"/>
      <c r="W857" s="304"/>
      <c r="X857" s="304"/>
      <c r="Y857" s="304"/>
      <c r="Z857" s="304"/>
    </row>
    <row r="858" spans="1:26" x14ac:dyDescent="0.2">
      <c r="A858" s="304"/>
      <c r="B858" s="304"/>
      <c r="C858" s="304"/>
      <c r="D858" s="304"/>
      <c r="E858" s="304"/>
      <c r="F858" s="304"/>
      <c r="G858" s="304"/>
      <c r="H858" s="304"/>
      <c r="I858" s="304"/>
      <c r="J858" s="304"/>
      <c r="K858" s="304"/>
      <c r="L858" s="304"/>
      <c r="M858" s="304"/>
      <c r="N858" s="304"/>
      <c r="O858" s="304"/>
      <c r="P858" s="304"/>
      <c r="Q858" s="304"/>
      <c r="R858" s="304"/>
      <c r="S858" s="304"/>
      <c r="T858" s="304"/>
      <c r="U858" s="304"/>
      <c r="V858" s="304"/>
      <c r="W858" s="304"/>
      <c r="X858" s="304"/>
      <c r="Y858" s="304"/>
      <c r="Z858" s="304"/>
    </row>
    <row r="859" spans="1:26" x14ac:dyDescent="0.2">
      <c r="A859" s="304"/>
      <c r="B859" s="304"/>
      <c r="C859" s="304"/>
      <c r="D859" s="304"/>
      <c r="E859" s="304"/>
      <c r="F859" s="304"/>
      <c r="G859" s="304"/>
      <c r="H859" s="304"/>
      <c r="I859" s="304"/>
      <c r="J859" s="304"/>
      <c r="K859" s="304"/>
      <c r="L859" s="304"/>
      <c r="M859" s="304"/>
      <c r="N859" s="304"/>
      <c r="O859" s="304"/>
      <c r="P859" s="304"/>
      <c r="Q859" s="304"/>
      <c r="R859" s="304"/>
      <c r="S859" s="304"/>
      <c r="T859" s="304"/>
      <c r="U859" s="304"/>
      <c r="V859" s="304"/>
      <c r="W859" s="304"/>
      <c r="X859" s="304"/>
      <c r="Y859" s="304"/>
      <c r="Z859" s="304"/>
    </row>
    <row r="860" spans="1:26" x14ac:dyDescent="0.2">
      <c r="A860" s="304"/>
      <c r="B860" s="304"/>
      <c r="C860" s="304"/>
      <c r="D860" s="304"/>
      <c r="E860" s="304"/>
      <c r="F860" s="304"/>
      <c r="G860" s="304"/>
      <c r="H860" s="304"/>
      <c r="I860" s="304"/>
      <c r="J860" s="304"/>
      <c r="K860" s="304"/>
      <c r="L860" s="304"/>
      <c r="M860" s="304"/>
      <c r="N860" s="304"/>
      <c r="O860" s="304"/>
      <c r="P860" s="304"/>
      <c r="Q860" s="304"/>
      <c r="R860" s="304"/>
      <c r="S860" s="304"/>
      <c r="T860" s="304"/>
      <c r="U860" s="304"/>
      <c r="V860" s="304"/>
      <c r="W860" s="304"/>
      <c r="X860" s="304"/>
      <c r="Y860" s="304"/>
      <c r="Z860" s="304"/>
    </row>
    <row r="861" spans="1:26" x14ac:dyDescent="0.2">
      <c r="A861" s="304"/>
      <c r="B861" s="304"/>
      <c r="C861" s="304"/>
      <c r="D861" s="304"/>
      <c r="E861" s="304"/>
      <c r="F861" s="304"/>
      <c r="G861" s="304"/>
      <c r="H861" s="304"/>
      <c r="I861" s="304"/>
      <c r="J861" s="304"/>
      <c r="K861" s="304"/>
      <c r="L861" s="304"/>
      <c r="M861" s="304"/>
      <c r="N861" s="304"/>
      <c r="O861" s="304"/>
      <c r="P861" s="304"/>
      <c r="Q861" s="304"/>
      <c r="R861" s="304"/>
      <c r="S861" s="304"/>
      <c r="T861" s="304"/>
      <c r="U861" s="304"/>
      <c r="V861" s="304"/>
      <c r="W861" s="304"/>
      <c r="X861" s="304"/>
      <c r="Y861" s="304"/>
      <c r="Z861" s="304"/>
    </row>
    <row r="862" spans="1:26" x14ac:dyDescent="0.2">
      <c r="A862" s="304"/>
      <c r="B862" s="304"/>
      <c r="C862" s="304"/>
      <c r="D862" s="304"/>
      <c r="E862" s="304"/>
      <c r="F862" s="304"/>
      <c r="G862" s="304"/>
      <c r="H862" s="304"/>
      <c r="I862" s="304"/>
      <c r="J862" s="304"/>
      <c r="K862" s="304"/>
      <c r="L862" s="304"/>
      <c r="M862" s="304"/>
      <c r="N862" s="304"/>
      <c r="O862" s="304"/>
      <c r="P862" s="304"/>
      <c r="Q862" s="304"/>
      <c r="R862" s="304"/>
      <c r="S862" s="304"/>
      <c r="T862" s="304"/>
      <c r="U862" s="304"/>
      <c r="V862" s="304"/>
      <c r="W862" s="304"/>
      <c r="X862" s="304"/>
      <c r="Y862" s="304"/>
      <c r="Z862" s="304"/>
    </row>
    <row r="863" spans="1:26" x14ac:dyDescent="0.2">
      <c r="A863" s="304"/>
      <c r="B863" s="304"/>
      <c r="C863" s="304"/>
      <c r="D863" s="304"/>
      <c r="E863" s="304"/>
      <c r="F863" s="304"/>
      <c r="G863" s="304"/>
      <c r="H863" s="304"/>
      <c r="I863" s="304"/>
      <c r="J863" s="304"/>
      <c r="K863" s="304"/>
      <c r="L863" s="304"/>
      <c r="M863" s="304"/>
      <c r="N863" s="304"/>
      <c r="O863" s="304"/>
      <c r="P863" s="304"/>
      <c r="Q863" s="304"/>
      <c r="R863" s="304"/>
      <c r="S863" s="304"/>
      <c r="T863" s="304"/>
      <c r="U863" s="304"/>
      <c r="V863" s="304"/>
      <c r="W863" s="304"/>
      <c r="X863" s="304"/>
      <c r="Y863" s="304"/>
      <c r="Z863" s="304"/>
    </row>
    <row r="864" spans="1:26" x14ac:dyDescent="0.2">
      <c r="A864" s="304"/>
      <c r="B864" s="304"/>
      <c r="C864" s="304"/>
      <c r="D864" s="304"/>
      <c r="E864" s="304"/>
      <c r="F864" s="304"/>
      <c r="G864" s="304"/>
      <c r="H864" s="304"/>
      <c r="I864" s="304"/>
      <c r="J864" s="304"/>
      <c r="K864" s="304"/>
      <c r="L864" s="304"/>
      <c r="M864" s="304"/>
      <c r="N864" s="304"/>
      <c r="O864" s="304"/>
      <c r="P864" s="304"/>
      <c r="Q864" s="304"/>
      <c r="R864" s="304"/>
      <c r="S864" s="304"/>
      <c r="T864" s="304"/>
      <c r="U864" s="304"/>
      <c r="V864" s="304"/>
      <c r="W864" s="304"/>
      <c r="X864" s="304"/>
      <c r="Y864" s="304"/>
      <c r="Z864" s="304"/>
    </row>
    <row r="865" spans="1:26" x14ac:dyDescent="0.2">
      <c r="A865" s="304"/>
      <c r="B865" s="304"/>
      <c r="C865" s="304"/>
      <c r="D865" s="304"/>
      <c r="E865" s="304"/>
      <c r="F865" s="304"/>
      <c r="G865" s="304"/>
      <c r="H865" s="304"/>
      <c r="I865" s="304"/>
      <c r="J865" s="304"/>
      <c r="K865" s="304"/>
      <c r="L865" s="304"/>
      <c r="M865" s="304"/>
      <c r="N865" s="304"/>
      <c r="O865" s="304"/>
      <c r="P865" s="304"/>
      <c r="Q865" s="304"/>
      <c r="R865" s="304"/>
      <c r="S865" s="304"/>
      <c r="T865" s="304"/>
      <c r="U865" s="304"/>
      <c r="V865" s="304"/>
      <c r="W865" s="304"/>
      <c r="X865" s="304"/>
      <c r="Y865" s="304"/>
      <c r="Z865" s="304"/>
    </row>
    <row r="866" spans="1:26" x14ac:dyDescent="0.2">
      <c r="A866" s="304"/>
      <c r="B866" s="304"/>
      <c r="C866" s="304"/>
      <c r="D866" s="304"/>
      <c r="E866" s="304"/>
      <c r="F866" s="304"/>
      <c r="G866" s="304"/>
      <c r="H866" s="304"/>
      <c r="I866" s="304"/>
      <c r="J866" s="304"/>
      <c r="K866" s="304"/>
      <c r="L866" s="304"/>
      <c r="M866" s="304"/>
      <c r="N866" s="304"/>
      <c r="O866" s="304"/>
      <c r="P866" s="304"/>
      <c r="Q866" s="304"/>
      <c r="R866" s="304"/>
      <c r="S866" s="304"/>
      <c r="T866" s="304"/>
      <c r="U866" s="304"/>
      <c r="V866" s="304"/>
      <c r="W866" s="304"/>
      <c r="X866" s="304"/>
      <c r="Y866" s="304"/>
      <c r="Z866" s="304"/>
    </row>
    <row r="867" spans="1:26" x14ac:dyDescent="0.2">
      <c r="A867" s="304"/>
      <c r="B867" s="304"/>
      <c r="C867" s="304"/>
      <c r="D867" s="304"/>
      <c r="E867" s="304"/>
      <c r="F867" s="304"/>
      <c r="G867" s="304"/>
      <c r="H867" s="304"/>
      <c r="I867" s="304"/>
      <c r="J867" s="304"/>
      <c r="K867" s="304"/>
      <c r="L867" s="304"/>
      <c r="M867" s="304"/>
      <c r="N867" s="304"/>
      <c r="O867" s="304"/>
      <c r="P867" s="304"/>
      <c r="Q867" s="304"/>
      <c r="R867" s="304"/>
      <c r="S867" s="304"/>
      <c r="T867" s="304"/>
      <c r="U867" s="304"/>
      <c r="V867" s="304"/>
      <c r="W867" s="304"/>
      <c r="X867" s="304"/>
      <c r="Y867" s="304"/>
      <c r="Z867" s="304"/>
    </row>
    <row r="868" spans="1:26" x14ac:dyDescent="0.2">
      <c r="A868" s="304"/>
      <c r="B868" s="304"/>
      <c r="C868" s="304"/>
      <c r="D868" s="304"/>
      <c r="E868" s="304"/>
      <c r="F868" s="304"/>
      <c r="G868" s="304"/>
      <c r="H868" s="304"/>
      <c r="I868" s="304"/>
      <c r="J868" s="304"/>
      <c r="K868" s="304"/>
      <c r="L868" s="304"/>
      <c r="M868" s="304"/>
      <c r="N868" s="304"/>
      <c r="O868" s="304"/>
      <c r="P868" s="304"/>
      <c r="Q868" s="304"/>
      <c r="R868" s="304"/>
      <c r="S868" s="304"/>
      <c r="T868" s="304"/>
      <c r="U868" s="304"/>
      <c r="V868" s="304"/>
      <c r="W868" s="304"/>
      <c r="X868" s="304"/>
      <c r="Y868" s="304"/>
      <c r="Z868" s="304"/>
    </row>
    <row r="869" spans="1:26" x14ac:dyDescent="0.2">
      <c r="A869" s="304"/>
      <c r="B869" s="304"/>
      <c r="C869" s="304"/>
      <c r="D869" s="304"/>
      <c r="E869" s="304"/>
      <c r="F869" s="304"/>
      <c r="G869" s="304"/>
      <c r="H869" s="304"/>
      <c r="I869" s="304"/>
      <c r="J869" s="304"/>
      <c r="K869" s="304"/>
      <c r="L869" s="304"/>
      <c r="M869" s="304"/>
      <c r="N869" s="304"/>
      <c r="O869" s="304"/>
      <c r="P869" s="304"/>
      <c r="Q869" s="304"/>
      <c r="R869" s="304"/>
      <c r="S869" s="304"/>
      <c r="T869" s="304"/>
      <c r="U869" s="304"/>
      <c r="V869" s="304"/>
      <c r="W869" s="304"/>
      <c r="X869" s="304"/>
      <c r="Y869" s="304"/>
      <c r="Z869" s="304"/>
    </row>
    <row r="870" spans="1:26" x14ac:dyDescent="0.2">
      <c r="A870" s="304"/>
      <c r="B870" s="304"/>
      <c r="C870" s="304"/>
      <c r="D870" s="304"/>
      <c r="E870" s="304"/>
      <c r="F870" s="304"/>
      <c r="G870" s="304"/>
      <c r="H870" s="304"/>
      <c r="I870" s="304"/>
      <c r="J870" s="304"/>
      <c r="K870" s="304"/>
      <c r="L870" s="304"/>
      <c r="M870" s="304"/>
      <c r="N870" s="304"/>
      <c r="O870" s="304"/>
      <c r="P870" s="304"/>
      <c r="Q870" s="304"/>
      <c r="R870" s="304"/>
      <c r="S870" s="304"/>
      <c r="T870" s="304"/>
      <c r="U870" s="304"/>
      <c r="V870" s="304"/>
      <c r="W870" s="304"/>
      <c r="X870" s="304"/>
      <c r="Y870" s="304"/>
      <c r="Z870" s="304"/>
    </row>
    <row r="871" spans="1:26" x14ac:dyDescent="0.2">
      <c r="A871" s="304"/>
      <c r="B871" s="304"/>
      <c r="C871" s="304"/>
      <c r="D871" s="304"/>
      <c r="E871" s="304"/>
      <c r="F871" s="304"/>
      <c r="G871" s="304"/>
      <c r="H871" s="304"/>
      <c r="I871" s="304"/>
      <c r="J871" s="304"/>
      <c r="K871" s="304"/>
      <c r="L871" s="304"/>
      <c r="M871" s="304"/>
      <c r="N871" s="304"/>
      <c r="O871" s="304"/>
      <c r="P871" s="304"/>
      <c r="Q871" s="304"/>
      <c r="R871" s="304"/>
      <c r="S871" s="304"/>
      <c r="T871" s="304"/>
      <c r="U871" s="304"/>
      <c r="V871" s="304"/>
      <c r="W871" s="304"/>
      <c r="X871" s="304"/>
      <c r="Y871" s="304"/>
      <c r="Z871" s="304"/>
    </row>
    <row r="872" spans="1:26" x14ac:dyDescent="0.2">
      <c r="A872" s="304"/>
      <c r="B872" s="304"/>
      <c r="C872" s="304"/>
      <c r="D872" s="304"/>
      <c r="E872" s="304"/>
      <c r="F872" s="304"/>
      <c r="G872" s="304"/>
      <c r="H872" s="304"/>
      <c r="I872" s="304"/>
      <c r="J872" s="304"/>
      <c r="K872" s="304"/>
      <c r="L872" s="304"/>
      <c r="M872" s="304"/>
      <c r="N872" s="304"/>
      <c r="O872" s="304"/>
      <c r="P872" s="304"/>
      <c r="Q872" s="304"/>
      <c r="R872" s="304"/>
      <c r="S872" s="304"/>
      <c r="T872" s="304"/>
      <c r="U872" s="304"/>
      <c r="V872" s="304"/>
      <c r="W872" s="304"/>
      <c r="X872" s="304"/>
      <c r="Y872" s="304"/>
      <c r="Z872" s="304"/>
    </row>
    <row r="873" spans="1:26" x14ac:dyDescent="0.2">
      <c r="A873" s="304"/>
      <c r="B873" s="304"/>
      <c r="C873" s="304"/>
      <c r="D873" s="304"/>
      <c r="E873" s="304"/>
      <c r="F873" s="304"/>
      <c r="G873" s="304"/>
      <c r="H873" s="304"/>
      <c r="I873" s="304"/>
      <c r="J873" s="304"/>
      <c r="K873" s="304"/>
      <c r="L873" s="304"/>
      <c r="M873" s="304"/>
      <c r="N873" s="304"/>
      <c r="O873" s="304"/>
      <c r="P873" s="304"/>
      <c r="Q873" s="304"/>
      <c r="R873" s="304"/>
      <c r="S873" s="304"/>
      <c r="T873" s="304"/>
      <c r="U873" s="304"/>
      <c r="V873" s="304"/>
      <c r="W873" s="304"/>
      <c r="X873" s="304"/>
      <c r="Y873" s="304"/>
      <c r="Z873" s="304"/>
    </row>
    <row r="874" spans="1:26" x14ac:dyDescent="0.2">
      <c r="A874" s="304"/>
      <c r="B874" s="304"/>
      <c r="C874" s="304"/>
      <c r="D874" s="304"/>
      <c r="E874" s="304"/>
      <c r="F874" s="304"/>
      <c r="G874" s="304"/>
      <c r="H874" s="304"/>
      <c r="I874" s="304"/>
      <c r="J874" s="304"/>
      <c r="K874" s="304"/>
      <c r="L874" s="304"/>
      <c r="M874" s="304"/>
      <c r="N874" s="304"/>
      <c r="O874" s="304"/>
      <c r="P874" s="304"/>
      <c r="Q874" s="304"/>
      <c r="R874" s="304"/>
      <c r="S874" s="304"/>
      <c r="T874" s="304"/>
      <c r="U874" s="304"/>
      <c r="V874" s="304"/>
      <c r="W874" s="304"/>
      <c r="X874" s="304"/>
      <c r="Y874" s="304"/>
      <c r="Z874" s="304"/>
    </row>
    <row r="875" spans="1:26" x14ac:dyDescent="0.2">
      <c r="A875" s="304"/>
      <c r="B875" s="304"/>
      <c r="C875" s="304"/>
      <c r="D875" s="304"/>
      <c r="E875" s="304"/>
      <c r="F875" s="304"/>
      <c r="G875" s="304"/>
      <c r="H875" s="304"/>
      <c r="I875" s="304"/>
      <c r="J875" s="304"/>
      <c r="K875" s="304"/>
      <c r="L875" s="304"/>
      <c r="M875" s="304"/>
      <c r="N875" s="304"/>
      <c r="O875" s="304"/>
      <c r="P875" s="304"/>
      <c r="Q875" s="304"/>
      <c r="R875" s="304"/>
      <c r="S875" s="304"/>
      <c r="T875" s="304"/>
      <c r="U875" s="304"/>
      <c r="V875" s="304"/>
      <c r="W875" s="304"/>
      <c r="X875" s="304"/>
      <c r="Y875" s="304"/>
      <c r="Z875" s="304"/>
    </row>
    <row r="876" spans="1:26" x14ac:dyDescent="0.2">
      <c r="A876" s="304"/>
      <c r="B876" s="304"/>
      <c r="C876" s="304"/>
      <c r="D876" s="304"/>
      <c r="E876" s="304"/>
      <c r="F876" s="304"/>
      <c r="G876" s="304"/>
      <c r="H876" s="304"/>
      <c r="I876" s="304"/>
      <c r="J876" s="304"/>
      <c r="K876" s="304"/>
      <c r="L876" s="304"/>
      <c r="M876" s="304"/>
      <c r="N876" s="304"/>
      <c r="O876" s="304"/>
      <c r="P876" s="304"/>
      <c r="Q876" s="304"/>
      <c r="R876" s="304"/>
      <c r="S876" s="304"/>
      <c r="T876" s="304"/>
      <c r="U876" s="304"/>
      <c r="V876" s="304"/>
      <c r="W876" s="304"/>
      <c r="X876" s="304"/>
      <c r="Y876" s="304"/>
      <c r="Z876" s="304"/>
    </row>
    <row r="877" spans="1:26" x14ac:dyDescent="0.2">
      <c r="A877" s="304"/>
      <c r="B877" s="304"/>
      <c r="C877" s="304"/>
      <c r="D877" s="304"/>
      <c r="E877" s="304"/>
      <c r="F877" s="304"/>
      <c r="G877" s="304"/>
      <c r="H877" s="304"/>
      <c r="I877" s="304"/>
      <c r="J877" s="304"/>
      <c r="K877" s="304"/>
      <c r="L877" s="304"/>
      <c r="M877" s="304"/>
      <c r="N877" s="304"/>
      <c r="O877" s="304"/>
      <c r="P877" s="304"/>
      <c r="Q877" s="304"/>
      <c r="R877" s="304"/>
      <c r="S877" s="304"/>
      <c r="T877" s="304"/>
      <c r="U877" s="304"/>
      <c r="V877" s="304"/>
      <c r="W877" s="304"/>
      <c r="X877" s="304"/>
      <c r="Y877" s="304"/>
      <c r="Z877" s="304"/>
    </row>
    <row r="878" spans="1:26" x14ac:dyDescent="0.2">
      <c r="A878" s="304"/>
      <c r="B878" s="304"/>
      <c r="C878" s="304"/>
      <c r="D878" s="304"/>
      <c r="E878" s="304"/>
      <c r="F878" s="304"/>
      <c r="G878" s="304"/>
      <c r="H878" s="304"/>
      <c r="I878" s="304"/>
      <c r="J878" s="304"/>
      <c r="K878" s="304"/>
      <c r="L878" s="304"/>
      <c r="M878" s="304"/>
      <c r="N878" s="304"/>
      <c r="O878" s="304"/>
      <c r="P878" s="304"/>
      <c r="Q878" s="304"/>
      <c r="R878" s="304"/>
      <c r="S878" s="304"/>
      <c r="T878" s="304"/>
      <c r="U878" s="304"/>
      <c r="V878" s="304"/>
      <c r="W878" s="304"/>
      <c r="X878" s="304"/>
      <c r="Y878" s="304"/>
      <c r="Z878" s="304"/>
    </row>
    <row r="879" spans="1:26" x14ac:dyDescent="0.2">
      <c r="A879" s="304"/>
      <c r="B879" s="304"/>
      <c r="C879" s="304"/>
      <c r="D879" s="304"/>
      <c r="E879" s="304"/>
      <c r="F879" s="304"/>
      <c r="G879" s="304"/>
      <c r="H879" s="304"/>
      <c r="I879" s="304"/>
      <c r="J879" s="304"/>
      <c r="K879" s="304"/>
      <c r="L879" s="304"/>
      <c r="M879" s="304"/>
      <c r="N879" s="304"/>
      <c r="O879" s="304"/>
      <c r="P879" s="304"/>
      <c r="Q879" s="304"/>
      <c r="R879" s="304"/>
      <c r="S879" s="304"/>
      <c r="T879" s="304"/>
      <c r="U879" s="304"/>
      <c r="V879" s="304"/>
      <c r="W879" s="304"/>
      <c r="X879" s="304"/>
      <c r="Y879" s="304"/>
      <c r="Z879" s="304"/>
    </row>
    <row r="880" spans="1:26" x14ac:dyDescent="0.2">
      <c r="A880" s="304"/>
      <c r="B880" s="304"/>
      <c r="C880" s="304"/>
      <c r="D880" s="304"/>
      <c r="E880" s="304"/>
      <c r="F880" s="304"/>
      <c r="G880" s="304"/>
      <c r="H880" s="304"/>
      <c r="I880" s="304"/>
      <c r="J880" s="304"/>
      <c r="K880" s="304"/>
      <c r="L880" s="304"/>
      <c r="M880" s="304"/>
      <c r="N880" s="304"/>
      <c r="O880" s="304"/>
      <c r="P880" s="304"/>
      <c r="Q880" s="304"/>
      <c r="R880" s="304"/>
      <c r="S880" s="304"/>
      <c r="T880" s="304"/>
      <c r="U880" s="304"/>
      <c r="V880" s="304"/>
      <c r="W880" s="304"/>
      <c r="X880" s="304"/>
      <c r="Y880" s="304"/>
      <c r="Z880" s="304"/>
    </row>
    <row r="881" spans="1:26" x14ac:dyDescent="0.2">
      <c r="A881" s="304"/>
      <c r="B881" s="304"/>
      <c r="C881" s="304"/>
      <c r="D881" s="304"/>
      <c r="E881" s="304"/>
      <c r="F881" s="304"/>
      <c r="G881" s="304"/>
      <c r="H881" s="304"/>
      <c r="I881" s="304"/>
      <c r="J881" s="304"/>
      <c r="K881" s="304"/>
      <c r="L881" s="304"/>
      <c r="M881" s="304"/>
      <c r="N881" s="304"/>
      <c r="O881" s="304"/>
      <c r="P881" s="304"/>
      <c r="Q881" s="304"/>
      <c r="R881" s="304"/>
      <c r="S881" s="304"/>
      <c r="T881" s="304"/>
      <c r="U881" s="304"/>
      <c r="V881" s="304"/>
      <c r="W881" s="304"/>
      <c r="X881" s="304"/>
      <c r="Y881" s="304"/>
      <c r="Z881" s="304"/>
    </row>
    <row r="882" spans="1:26" x14ac:dyDescent="0.2">
      <c r="A882" s="304"/>
      <c r="B882" s="304"/>
      <c r="C882" s="304"/>
      <c r="D882" s="304"/>
      <c r="E882" s="304"/>
      <c r="F882" s="304"/>
      <c r="G882" s="304"/>
      <c r="H882" s="304"/>
      <c r="I882" s="304"/>
      <c r="J882" s="304"/>
      <c r="K882" s="304"/>
      <c r="L882" s="304"/>
      <c r="M882" s="304"/>
      <c r="N882" s="304"/>
      <c r="O882" s="304"/>
      <c r="P882" s="304"/>
      <c r="Q882" s="304"/>
      <c r="R882" s="304"/>
      <c r="S882" s="304"/>
      <c r="T882" s="304"/>
      <c r="U882" s="304"/>
      <c r="V882" s="304"/>
      <c r="W882" s="304"/>
      <c r="X882" s="304"/>
      <c r="Y882" s="304"/>
      <c r="Z882" s="304"/>
    </row>
    <row r="883" spans="1:26" x14ac:dyDescent="0.2">
      <c r="A883" s="304"/>
      <c r="B883" s="304"/>
      <c r="C883" s="304"/>
      <c r="D883" s="304"/>
      <c r="E883" s="304"/>
      <c r="F883" s="304"/>
      <c r="G883" s="304"/>
      <c r="H883" s="304"/>
      <c r="I883" s="304"/>
      <c r="J883" s="304"/>
      <c r="K883" s="304"/>
      <c r="L883" s="304"/>
      <c r="M883" s="304"/>
      <c r="N883" s="304"/>
      <c r="O883" s="304"/>
      <c r="P883" s="304"/>
      <c r="Q883" s="304"/>
      <c r="R883" s="304"/>
      <c r="S883" s="304"/>
      <c r="T883" s="304"/>
      <c r="U883" s="304"/>
      <c r="V883" s="304"/>
      <c r="W883" s="304"/>
      <c r="X883" s="304"/>
      <c r="Y883" s="304"/>
      <c r="Z883" s="304"/>
    </row>
    <row r="884" spans="1:26" x14ac:dyDescent="0.2">
      <c r="A884" s="304"/>
      <c r="B884" s="304"/>
      <c r="C884" s="304"/>
      <c r="D884" s="304"/>
      <c r="E884" s="304"/>
      <c r="F884" s="304"/>
      <c r="G884" s="304"/>
      <c r="H884" s="304"/>
      <c r="I884" s="304"/>
      <c r="J884" s="304"/>
      <c r="K884" s="304"/>
      <c r="L884" s="304"/>
      <c r="M884" s="304"/>
      <c r="N884" s="304"/>
      <c r="O884" s="304"/>
      <c r="P884" s="304"/>
      <c r="Q884" s="304"/>
      <c r="R884" s="304"/>
      <c r="S884" s="304"/>
      <c r="T884" s="304"/>
      <c r="U884" s="304"/>
      <c r="V884" s="304"/>
      <c r="W884" s="304"/>
      <c r="X884" s="304"/>
      <c r="Y884" s="304"/>
      <c r="Z884" s="304"/>
    </row>
    <row r="885" spans="1:26" x14ac:dyDescent="0.2">
      <c r="A885" s="304"/>
      <c r="B885" s="304"/>
      <c r="C885" s="304"/>
      <c r="D885" s="304"/>
      <c r="E885" s="304"/>
      <c r="F885" s="304"/>
      <c r="G885" s="304"/>
      <c r="H885" s="304"/>
      <c r="I885" s="304"/>
      <c r="J885" s="304"/>
      <c r="K885" s="304"/>
      <c r="L885" s="304"/>
      <c r="M885" s="304"/>
      <c r="N885" s="304"/>
      <c r="O885" s="304"/>
      <c r="P885" s="304"/>
      <c r="Q885" s="304"/>
      <c r="R885" s="304"/>
      <c r="S885" s="304"/>
      <c r="T885" s="304"/>
      <c r="U885" s="304"/>
      <c r="V885" s="304"/>
      <c r="W885" s="304"/>
      <c r="X885" s="304"/>
      <c r="Y885" s="304"/>
      <c r="Z885" s="304"/>
    </row>
    <row r="886" spans="1:26" x14ac:dyDescent="0.2">
      <c r="A886" s="304"/>
      <c r="B886" s="304"/>
      <c r="C886" s="304"/>
      <c r="D886" s="304"/>
      <c r="E886" s="304"/>
      <c r="F886" s="304"/>
      <c r="G886" s="304"/>
      <c r="H886" s="304"/>
      <c r="I886" s="304"/>
      <c r="J886" s="304"/>
      <c r="K886" s="304"/>
      <c r="L886" s="304"/>
      <c r="M886" s="304"/>
      <c r="N886" s="304"/>
      <c r="O886" s="304"/>
      <c r="P886" s="304"/>
      <c r="Q886" s="304"/>
      <c r="R886" s="304"/>
      <c r="S886" s="304"/>
      <c r="T886" s="304"/>
      <c r="U886" s="304"/>
      <c r="V886" s="304"/>
      <c r="W886" s="304"/>
      <c r="X886" s="304"/>
      <c r="Y886" s="304"/>
      <c r="Z886" s="304"/>
    </row>
    <row r="887" spans="1:26" x14ac:dyDescent="0.2">
      <c r="A887" s="304"/>
      <c r="B887" s="304"/>
      <c r="C887" s="304"/>
      <c r="D887" s="304"/>
      <c r="E887" s="304"/>
      <c r="F887" s="304"/>
      <c r="G887" s="304"/>
      <c r="H887" s="304"/>
      <c r="I887" s="304"/>
      <c r="J887" s="304"/>
      <c r="K887" s="304"/>
      <c r="L887" s="304"/>
      <c r="M887" s="304"/>
      <c r="N887" s="304"/>
      <c r="O887" s="304"/>
      <c r="P887" s="304"/>
      <c r="Q887" s="304"/>
      <c r="R887" s="304"/>
      <c r="S887" s="304"/>
      <c r="T887" s="304"/>
      <c r="U887" s="304"/>
      <c r="V887" s="304"/>
      <c r="W887" s="304"/>
      <c r="X887" s="304"/>
      <c r="Y887" s="304"/>
      <c r="Z887" s="304"/>
    </row>
    <row r="888" spans="1:26" x14ac:dyDescent="0.2">
      <c r="A888" s="304"/>
      <c r="B888" s="304"/>
      <c r="C888" s="304"/>
      <c r="D888" s="304"/>
      <c r="E888" s="304"/>
      <c r="F888" s="304"/>
      <c r="G888" s="304"/>
      <c r="H888" s="304"/>
      <c r="I888" s="304"/>
      <c r="J888" s="304"/>
      <c r="K888" s="304"/>
      <c r="L888" s="304"/>
      <c r="M888" s="304"/>
      <c r="N888" s="304"/>
      <c r="O888" s="304"/>
      <c r="P888" s="304"/>
      <c r="Q888" s="304"/>
      <c r="R888" s="304"/>
      <c r="S888" s="304"/>
      <c r="T888" s="304"/>
      <c r="U888" s="304"/>
      <c r="V888" s="304"/>
      <c r="W888" s="304"/>
      <c r="X888" s="304"/>
      <c r="Y888" s="304"/>
      <c r="Z888" s="304"/>
    </row>
    <row r="889" spans="1:26" x14ac:dyDescent="0.2">
      <c r="A889" s="304"/>
      <c r="B889" s="304"/>
      <c r="C889" s="304"/>
      <c r="D889" s="304"/>
      <c r="E889" s="304"/>
      <c r="F889" s="304"/>
      <c r="G889" s="304"/>
      <c r="H889" s="304"/>
      <c r="I889" s="304"/>
      <c r="J889" s="304"/>
      <c r="K889" s="304"/>
      <c r="L889" s="304"/>
      <c r="M889" s="304"/>
      <c r="N889" s="304"/>
      <c r="O889" s="304"/>
      <c r="P889" s="304"/>
      <c r="Q889" s="304"/>
      <c r="R889" s="304"/>
      <c r="S889" s="304"/>
      <c r="T889" s="304"/>
      <c r="U889" s="304"/>
      <c r="V889" s="304"/>
      <c r="W889" s="304"/>
      <c r="X889" s="304"/>
      <c r="Y889" s="304"/>
      <c r="Z889" s="304"/>
    </row>
    <row r="890" spans="1:26" x14ac:dyDescent="0.2">
      <c r="A890" s="304"/>
      <c r="B890" s="304"/>
      <c r="C890" s="304"/>
      <c r="D890" s="304"/>
      <c r="E890" s="304"/>
      <c r="F890" s="304"/>
      <c r="G890" s="304"/>
      <c r="H890" s="304"/>
      <c r="I890" s="304"/>
      <c r="J890" s="304"/>
      <c r="K890" s="304"/>
      <c r="L890" s="304"/>
      <c r="M890" s="304"/>
      <c r="N890" s="304"/>
      <c r="O890" s="304"/>
      <c r="P890" s="304"/>
      <c r="Q890" s="304"/>
      <c r="R890" s="304"/>
      <c r="S890" s="304"/>
      <c r="T890" s="304"/>
      <c r="U890" s="304"/>
      <c r="V890" s="304"/>
      <c r="W890" s="304"/>
      <c r="X890" s="304"/>
      <c r="Y890" s="304"/>
      <c r="Z890" s="304"/>
    </row>
    <row r="891" spans="1:26" x14ac:dyDescent="0.2">
      <c r="A891" s="304"/>
      <c r="B891" s="304"/>
      <c r="C891" s="304"/>
      <c r="D891" s="304"/>
      <c r="E891" s="304"/>
      <c r="F891" s="304"/>
      <c r="G891" s="304"/>
      <c r="H891" s="304"/>
      <c r="I891" s="304"/>
      <c r="J891" s="304"/>
      <c r="K891" s="304"/>
      <c r="L891" s="304"/>
      <c r="M891" s="304"/>
      <c r="N891" s="304"/>
      <c r="O891" s="304"/>
      <c r="P891" s="304"/>
      <c r="Q891" s="304"/>
      <c r="R891" s="304"/>
      <c r="S891" s="304"/>
      <c r="T891" s="304"/>
      <c r="U891" s="304"/>
      <c r="V891" s="304"/>
      <c r="W891" s="304"/>
      <c r="X891" s="304"/>
      <c r="Y891" s="304"/>
      <c r="Z891" s="304"/>
    </row>
    <row r="892" spans="1:26" x14ac:dyDescent="0.2">
      <c r="A892" s="304"/>
      <c r="B892" s="304"/>
      <c r="C892" s="304"/>
      <c r="D892" s="304"/>
      <c r="E892" s="304"/>
      <c r="F892" s="304"/>
      <c r="G892" s="304"/>
      <c r="H892" s="304"/>
      <c r="I892" s="304"/>
      <c r="J892" s="304"/>
      <c r="K892" s="304"/>
      <c r="L892" s="304"/>
      <c r="M892" s="304"/>
      <c r="N892" s="304"/>
      <c r="O892" s="304"/>
      <c r="P892" s="304"/>
      <c r="Q892" s="304"/>
      <c r="R892" s="304"/>
      <c r="S892" s="304"/>
      <c r="T892" s="304"/>
      <c r="U892" s="304"/>
      <c r="V892" s="304"/>
      <c r="W892" s="304"/>
      <c r="X892" s="304"/>
      <c r="Y892" s="304"/>
      <c r="Z892" s="304"/>
    </row>
    <row r="893" spans="1:26" x14ac:dyDescent="0.2">
      <c r="A893" s="304"/>
      <c r="B893" s="304"/>
      <c r="C893" s="304"/>
      <c r="D893" s="304"/>
      <c r="E893" s="304"/>
      <c r="F893" s="304"/>
      <c r="G893" s="304"/>
      <c r="H893" s="304"/>
      <c r="I893" s="304"/>
      <c r="J893" s="304"/>
      <c r="K893" s="304"/>
      <c r="L893" s="304"/>
      <c r="M893" s="304"/>
      <c r="N893" s="304"/>
      <c r="O893" s="304"/>
      <c r="P893" s="304"/>
      <c r="Q893" s="304"/>
      <c r="R893" s="304"/>
      <c r="S893" s="304"/>
      <c r="T893" s="304"/>
      <c r="U893" s="304"/>
      <c r="V893" s="304"/>
      <c r="W893" s="304"/>
      <c r="X893" s="304"/>
      <c r="Y893" s="304"/>
      <c r="Z893" s="304"/>
    </row>
    <row r="894" spans="1:26" x14ac:dyDescent="0.2">
      <c r="A894" s="304"/>
      <c r="B894" s="304"/>
      <c r="C894" s="304"/>
      <c r="D894" s="304"/>
      <c r="E894" s="304"/>
      <c r="F894" s="304"/>
      <c r="G894" s="304"/>
      <c r="H894" s="304"/>
      <c r="I894" s="304"/>
      <c r="J894" s="304"/>
      <c r="K894" s="304"/>
      <c r="L894" s="304"/>
      <c r="M894" s="304"/>
      <c r="N894" s="304"/>
      <c r="O894" s="304"/>
      <c r="P894" s="304"/>
      <c r="Q894" s="304"/>
      <c r="R894" s="304"/>
      <c r="S894" s="304"/>
      <c r="T894" s="304"/>
      <c r="U894" s="304"/>
      <c r="V894" s="304"/>
      <c r="W894" s="304"/>
      <c r="X894" s="304"/>
      <c r="Y894" s="304"/>
      <c r="Z894" s="304"/>
    </row>
    <row r="895" spans="1:26" x14ac:dyDescent="0.2">
      <c r="A895" s="304"/>
      <c r="B895" s="304"/>
      <c r="C895" s="304"/>
      <c r="D895" s="304"/>
      <c r="E895" s="304"/>
      <c r="F895" s="304"/>
      <c r="G895" s="304"/>
      <c r="H895" s="304"/>
      <c r="I895" s="304"/>
      <c r="J895" s="304"/>
      <c r="K895" s="304"/>
      <c r="L895" s="304"/>
      <c r="M895" s="304"/>
      <c r="N895" s="304"/>
      <c r="O895" s="304"/>
      <c r="P895" s="304"/>
      <c r="Q895" s="304"/>
      <c r="R895" s="304"/>
      <c r="S895" s="304"/>
      <c r="T895" s="304"/>
      <c r="U895" s="304"/>
      <c r="V895" s="304"/>
      <c r="W895" s="304"/>
      <c r="X895" s="304"/>
      <c r="Y895" s="304"/>
      <c r="Z895" s="304"/>
    </row>
    <row r="896" spans="1:26" x14ac:dyDescent="0.2">
      <c r="A896" s="304"/>
      <c r="B896" s="304"/>
      <c r="C896" s="304"/>
      <c r="D896" s="304"/>
      <c r="E896" s="304"/>
      <c r="F896" s="304"/>
      <c r="G896" s="304"/>
      <c r="H896" s="304"/>
      <c r="I896" s="304"/>
      <c r="J896" s="304"/>
      <c r="K896" s="304"/>
      <c r="L896" s="304"/>
      <c r="M896" s="304"/>
      <c r="N896" s="304"/>
      <c r="O896" s="304"/>
      <c r="P896" s="304"/>
      <c r="Q896" s="304"/>
      <c r="R896" s="304"/>
      <c r="S896" s="304"/>
      <c r="T896" s="304"/>
      <c r="U896" s="304"/>
      <c r="V896" s="304"/>
      <c r="W896" s="304"/>
      <c r="X896" s="304"/>
      <c r="Y896" s="304"/>
      <c r="Z896" s="304"/>
    </row>
    <row r="897" spans="1:26" x14ac:dyDescent="0.2">
      <c r="A897" s="304"/>
      <c r="B897" s="304"/>
      <c r="C897" s="304"/>
      <c r="D897" s="304"/>
      <c r="E897" s="304"/>
      <c r="F897" s="304"/>
      <c r="G897" s="304"/>
      <c r="H897" s="304"/>
      <c r="I897" s="304"/>
      <c r="J897" s="304"/>
      <c r="K897" s="304"/>
      <c r="L897" s="304"/>
      <c r="M897" s="304"/>
      <c r="N897" s="304"/>
      <c r="O897" s="304"/>
      <c r="P897" s="304"/>
      <c r="Q897" s="304"/>
      <c r="R897" s="304"/>
      <c r="S897" s="304"/>
      <c r="T897" s="304"/>
      <c r="U897" s="304"/>
      <c r="V897" s="304"/>
      <c r="W897" s="304"/>
      <c r="X897" s="304"/>
      <c r="Y897" s="304"/>
      <c r="Z897" s="304"/>
    </row>
    <row r="898" spans="1:26" x14ac:dyDescent="0.2">
      <c r="A898" s="304"/>
      <c r="B898" s="304"/>
      <c r="C898" s="304"/>
      <c r="D898" s="304"/>
      <c r="E898" s="304"/>
      <c r="F898" s="304"/>
      <c r="G898" s="304"/>
      <c r="H898" s="304"/>
      <c r="I898" s="304"/>
      <c r="J898" s="304"/>
      <c r="K898" s="304"/>
      <c r="L898" s="304"/>
      <c r="M898" s="304"/>
      <c r="N898" s="304"/>
      <c r="O898" s="304"/>
      <c r="P898" s="304"/>
      <c r="Q898" s="304"/>
      <c r="R898" s="304"/>
      <c r="S898" s="304"/>
      <c r="T898" s="304"/>
      <c r="U898" s="304"/>
      <c r="V898" s="304"/>
      <c r="W898" s="304"/>
      <c r="X898" s="304"/>
      <c r="Y898" s="304"/>
      <c r="Z898" s="304"/>
    </row>
    <row r="899" spans="1:26" x14ac:dyDescent="0.2">
      <c r="A899" s="304"/>
      <c r="B899" s="304"/>
      <c r="C899" s="304"/>
      <c r="D899" s="304"/>
      <c r="E899" s="304"/>
      <c r="F899" s="304"/>
      <c r="G899" s="304"/>
      <c r="H899" s="304"/>
      <c r="I899" s="304"/>
      <c r="J899" s="304"/>
      <c r="K899" s="304"/>
      <c r="L899" s="304"/>
      <c r="M899" s="304"/>
      <c r="N899" s="304"/>
      <c r="O899" s="304"/>
      <c r="P899" s="304"/>
      <c r="Q899" s="304"/>
      <c r="R899" s="304"/>
      <c r="S899" s="304"/>
      <c r="T899" s="304"/>
      <c r="U899" s="304"/>
      <c r="V899" s="304"/>
      <c r="W899" s="304"/>
      <c r="X899" s="304"/>
      <c r="Y899" s="304"/>
      <c r="Z899" s="304"/>
    </row>
    <row r="900" spans="1:26" x14ac:dyDescent="0.2">
      <c r="A900" s="304"/>
      <c r="B900" s="304"/>
      <c r="C900" s="304"/>
      <c r="D900" s="304"/>
      <c r="E900" s="304"/>
      <c r="F900" s="304"/>
      <c r="G900" s="304"/>
      <c r="H900" s="304"/>
      <c r="I900" s="304"/>
      <c r="J900" s="304"/>
      <c r="K900" s="304"/>
      <c r="L900" s="304"/>
      <c r="M900" s="304"/>
      <c r="N900" s="304"/>
      <c r="O900" s="304"/>
      <c r="P900" s="304"/>
      <c r="Q900" s="304"/>
      <c r="R900" s="304"/>
      <c r="S900" s="304"/>
      <c r="T900" s="304"/>
      <c r="U900" s="304"/>
      <c r="V900" s="304"/>
      <c r="W900" s="304"/>
      <c r="X900" s="304"/>
      <c r="Y900" s="304"/>
      <c r="Z900" s="304"/>
    </row>
    <row r="901" spans="1:26" x14ac:dyDescent="0.2">
      <c r="A901" s="304"/>
      <c r="B901" s="304"/>
      <c r="C901" s="304"/>
      <c r="D901" s="304"/>
      <c r="E901" s="304"/>
      <c r="F901" s="304"/>
      <c r="G901" s="304"/>
      <c r="H901" s="304"/>
      <c r="I901" s="304"/>
      <c r="J901" s="304"/>
      <c r="K901" s="304"/>
      <c r="L901" s="304"/>
      <c r="M901" s="304"/>
      <c r="N901" s="304"/>
      <c r="O901" s="304"/>
      <c r="P901" s="304"/>
      <c r="Q901" s="304"/>
      <c r="R901" s="304"/>
      <c r="S901" s="304"/>
      <c r="T901" s="304"/>
      <c r="U901" s="304"/>
      <c r="V901" s="304"/>
      <c r="W901" s="304"/>
      <c r="X901" s="304"/>
      <c r="Y901" s="304"/>
      <c r="Z901" s="304"/>
    </row>
    <row r="902" spans="1:26" x14ac:dyDescent="0.2">
      <c r="A902" s="304"/>
      <c r="B902" s="304"/>
      <c r="C902" s="304"/>
      <c r="D902" s="304"/>
      <c r="E902" s="304"/>
      <c r="F902" s="304"/>
      <c r="G902" s="304"/>
      <c r="H902" s="304"/>
      <c r="I902" s="304"/>
      <c r="J902" s="304"/>
      <c r="K902" s="304"/>
      <c r="L902" s="304"/>
      <c r="M902" s="304"/>
      <c r="N902" s="304"/>
      <c r="O902" s="304"/>
      <c r="P902" s="304"/>
      <c r="Q902" s="304"/>
      <c r="R902" s="304"/>
      <c r="S902" s="304"/>
      <c r="T902" s="304"/>
      <c r="U902" s="304"/>
      <c r="V902" s="304"/>
      <c r="W902" s="304"/>
      <c r="X902" s="304"/>
      <c r="Y902" s="304"/>
      <c r="Z902" s="304"/>
    </row>
    <row r="903" spans="1:26" x14ac:dyDescent="0.2">
      <c r="A903" s="304"/>
      <c r="B903" s="304"/>
      <c r="C903" s="304"/>
      <c r="D903" s="304"/>
      <c r="E903" s="304"/>
      <c r="F903" s="304"/>
      <c r="G903" s="304"/>
      <c r="H903" s="304"/>
      <c r="I903" s="304"/>
      <c r="J903" s="304"/>
      <c r="K903" s="304"/>
      <c r="L903" s="304"/>
      <c r="M903" s="304"/>
      <c r="N903" s="304"/>
      <c r="O903" s="304"/>
      <c r="P903" s="304"/>
      <c r="Q903" s="304"/>
      <c r="R903" s="304"/>
      <c r="S903" s="304"/>
      <c r="T903" s="304"/>
      <c r="U903" s="304"/>
      <c r="V903" s="304"/>
      <c r="W903" s="304"/>
      <c r="X903" s="304"/>
      <c r="Y903" s="304"/>
      <c r="Z903" s="304"/>
    </row>
    <row r="904" spans="1:26" x14ac:dyDescent="0.2">
      <c r="A904" s="304"/>
      <c r="B904" s="304"/>
      <c r="C904" s="304"/>
      <c r="D904" s="304"/>
      <c r="E904" s="304"/>
      <c r="F904" s="304"/>
      <c r="G904" s="304"/>
      <c r="H904" s="304"/>
      <c r="I904" s="304"/>
      <c r="J904" s="304"/>
      <c r="K904" s="304"/>
      <c r="L904" s="304"/>
      <c r="M904" s="304"/>
      <c r="N904" s="304"/>
      <c r="O904" s="304"/>
      <c r="P904" s="304"/>
      <c r="Q904" s="304"/>
      <c r="R904" s="304"/>
      <c r="S904" s="304"/>
      <c r="T904" s="304"/>
      <c r="U904" s="304"/>
      <c r="V904" s="304"/>
      <c r="W904" s="304"/>
      <c r="X904" s="304"/>
      <c r="Y904" s="304"/>
      <c r="Z904" s="304"/>
    </row>
    <row r="905" spans="1:26" x14ac:dyDescent="0.2">
      <c r="A905" s="304"/>
      <c r="B905" s="304"/>
      <c r="C905" s="304"/>
      <c r="D905" s="304"/>
      <c r="E905" s="304"/>
      <c r="F905" s="304"/>
      <c r="G905" s="304"/>
      <c r="H905" s="304"/>
      <c r="I905" s="304"/>
      <c r="J905" s="304"/>
      <c r="K905" s="304"/>
      <c r="L905" s="304"/>
      <c r="M905" s="304"/>
      <c r="N905" s="304"/>
      <c r="O905" s="304"/>
      <c r="P905" s="304"/>
      <c r="Q905" s="304"/>
      <c r="R905" s="304"/>
      <c r="S905" s="304"/>
      <c r="T905" s="304"/>
      <c r="U905" s="304"/>
      <c r="V905" s="304"/>
      <c r="W905" s="304"/>
      <c r="X905" s="304"/>
      <c r="Y905" s="304"/>
      <c r="Z905" s="304"/>
    </row>
    <row r="906" spans="1:26" x14ac:dyDescent="0.2">
      <c r="A906" s="304"/>
      <c r="B906" s="304"/>
      <c r="C906" s="304"/>
      <c r="D906" s="304"/>
      <c r="E906" s="304"/>
      <c r="F906" s="304"/>
      <c r="G906" s="304"/>
      <c r="H906" s="304"/>
      <c r="I906" s="304"/>
      <c r="J906" s="304"/>
      <c r="K906" s="304"/>
      <c r="L906" s="304"/>
      <c r="M906" s="304"/>
      <c r="N906" s="304"/>
      <c r="O906" s="304"/>
      <c r="P906" s="304"/>
      <c r="Q906" s="304"/>
      <c r="R906" s="304"/>
      <c r="S906" s="304"/>
      <c r="T906" s="304"/>
      <c r="U906" s="304"/>
      <c r="V906" s="304"/>
      <c r="W906" s="304"/>
      <c r="X906" s="304"/>
      <c r="Y906" s="304"/>
      <c r="Z906" s="304"/>
    </row>
    <row r="907" spans="1:26" x14ac:dyDescent="0.2">
      <c r="A907" s="304"/>
      <c r="B907" s="304"/>
      <c r="C907" s="304"/>
      <c r="D907" s="304"/>
      <c r="E907" s="304"/>
      <c r="F907" s="304"/>
      <c r="G907" s="304"/>
      <c r="H907" s="304"/>
      <c r="I907" s="304"/>
      <c r="J907" s="304"/>
      <c r="K907" s="304"/>
      <c r="L907" s="304"/>
      <c r="M907" s="304"/>
      <c r="N907" s="304"/>
      <c r="O907" s="304"/>
      <c r="P907" s="304"/>
      <c r="Q907" s="304"/>
      <c r="R907" s="304"/>
      <c r="S907" s="304"/>
      <c r="T907" s="304"/>
      <c r="U907" s="304"/>
      <c r="V907" s="304"/>
      <c r="W907" s="304"/>
      <c r="X907" s="304"/>
      <c r="Y907" s="304"/>
      <c r="Z907" s="304"/>
    </row>
    <row r="908" spans="1:26" x14ac:dyDescent="0.2">
      <c r="A908" s="304"/>
      <c r="B908" s="304"/>
      <c r="C908" s="304"/>
      <c r="D908" s="304"/>
      <c r="E908" s="304"/>
      <c r="F908" s="304"/>
      <c r="G908" s="304"/>
      <c r="H908" s="304"/>
      <c r="I908" s="304"/>
      <c r="J908" s="304"/>
      <c r="K908" s="304"/>
      <c r="L908" s="304"/>
      <c r="M908" s="304"/>
      <c r="N908" s="304"/>
      <c r="O908" s="304"/>
      <c r="P908" s="304"/>
      <c r="Q908" s="304"/>
      <c r="R908" s="304"/>
      <c r="S908" s="304"/>
      <c r="T908" s="304"/>
      <c r="U908" s="304"/>
      <c r="V908" s="304"/>
      <c r="W908" s="304"/>
      <c r="X908" s="304"/>
      <c r="Y908" s="304"/>
      <c r="Z908" s="304"/>
    </row>
    <row r="909" spans="1:26" x14ac:dyDescent="0.2">
      <c r="A909" s="304"/>
      <c r="B909" s="304"/>
      <c r="C909" s="304"/>
      <c r="D909" s="304"/>
      <c r="E909" s="304"/>
      <c r="F909" s="304"/>
      <c r="G909" s="304"/>
      <c r="H909" s="304"/>
      <c r="I909" s="304"/>
      <c r="J909" s="304"/>
      <c r="K909" s="304"/>
      <c r="L909" s="304"/>
      <c r="M909" s="304"/>
      <c r="N909" s="304"/>
      <c r="O909" s="304"/>
      <c r="P909" s="304"/>
      <c r="Q909" s="304"/>
      <c r="R909" s="304"/>
      <c r="S909" s="304"/>
      <c r="T909" s="304"/>
      <c r="U909" s="304"/>
      <c r="V909" s="304"/>
      <c r="W909" s="304"/>
      <c r="X909" s="304"/>
      <c r="Y909" s="304"/>
      <c r="Z909" s="304"/>
    </row>
    <row r="910" spans="1:26" x14ac:dyDescent="0.2">
      <c r="A910" s="304"/>
      <c r="B910" s="304"/>
      <c r="C910" s="304"/>
      <c r="D910" s="304"/>
      <c r="E910" s="304"/>
      <c r="F910" s="304"/>
      <c r="G910" s="304"/>
      <c r="H910" s="304"/>
      <c r="I910" s="304"/>
      <c r="J910" s="304"/>
      <c r="K910" s="304"/>
      <c r="L910" s="304"/>
      <c r="M910" s="304"/>
      <c r="N910" s="304"/>
      <c r="O910" s="304"/>
      <c r="P910" s="304"/>
      <c r="Q910" s="304"/>
      <c r="R910" s="304"/>
      <c r="S910" s="304"/>
      <c r="T910" s="304"/>
      <c r="U910" s="304"/>
      <c r="V910" s="304"/>
      <c r="W910" s="304"/>
      <c r="X910" s="304"/>
      <c r="Y910" s="304"/>
      <c r="Z910" s="304"/>
    </row>
    <row r="911" spans="1:26" x14ac:dyDescent="0.2">
      <c r="A911" s="304"/>
      <c r="B911" s="304"/>
      <c r="C911" s="304"/>
      <c r="D911" s="304"/>
      <c r="E911" s="304"/>
      <c r="F911" s="304"/>
      <c r="G911" s="304"/>
      <c r="H911" s="304"/>
      <c r="I911" s="304"/>
      <c r="J911" s="304"/>
      <c r="K911" s="304"/>
      <c r="L911" s="304"/>
      <c r="M911" s="304"/>
      <c r="N911" s="304"/>
      <c r="O911" s="304"/>
      <c r="P911" s="304"/>
      <c r="Q911" s="304"/>
      <c r="R911" s="304"/>
      <c r="S911" s="304"/>
      <c r="T911" s="304"/>
      <c r="U911" s="304"/>
      <c r="V911" s="304"/>
      <c r="W911" s="304"/>
      <c r="X911" s="304"/>
      <c r="Y911" s="304"/>
      <c r="Z911" s="304"/>
    </row>
    <row r="912" spans="1:26" x14ac:dyDescent="0.2">
      <c r="A912" s="304"/>
      <c r="B912" s="304"/>
      <c r="C912" s="304"/>
      <c r="D912" s="304"/>
      <c r="E912" s="304"/>
      <c r="F912" s="304"/>
      <c r="G912" s="304"/>
      <c r="H912" s="304"/>
      <c r="I912" s="304"/>
      <c r="J912" s="304"/>
      <c r="K912" s="304"/>
      <c r="L912" s="304"/>
      <c r="M912" s="304"/>
      <c r="N912" s="304"/>
      <c r="O912" s="304"/>
      <c r="P912" s="304"/>
      <c r="Q912" s="304"/>
      <c r="R912" s="304"/>
      <c r="S912" s="304"/>
      <c r="T912" s="304"/>
      <c r="U912" s="304"/>
      <c r="V912" s="304"/>
      <c r="W912" s="304"/>
      <c r="X912" s="304"/>
      <c r="Y912" s="304"/>
      <c r="Z912" s="304"/>
    </row>
    <row r="913" spans="1:26" x14ac:dyDescent="0.2">
      <c r="A913" s="304"/>
      <c r="B913" s="304"/>
      <c r="C913" s="304"/>
      <c r="D913" s="304"/>
      <c r="E913" s="304"/>
      <c r="F913" s="304"/>
      <c r="G913" s="304"/>
      <c r="H913" s="304"/>
      <c r="I913" s="304"/>
      <c r="J913" s="304"/>
      <c r="K913" s="304"/>
      <c r="L913" s="304"/>
      <c r="M913" s="304"/>
      <c r="N913" s="304"/>
      <c r="O913" s="304"/>
      <c r="P913" s="304"/>
      <c r="Q913" s="304"/>
      <c r="R913" s="304"/>
      <c r="S913" s="304"/>
      <c r="T913" s="304"/>
      <c r="U913" s="304"/>
      <c r="V913" s="304"/>
      <c r="W913" s="304"/>
      <c r="X913" s="304"/>
      <c r="Y913" s="304"/>
      <c r="Z913" s="304"/>
    </row>
    <row r="914" spans="1:26" x14ac:dyDescent="0.2">
      <c r="A914" s="304"/>
      <c r="B914" s="304"/>
      <c r="C914" s="304"/>
      <c r="D914" s="304"/>
      <c r="E914" s="304"/>
      <c r="F914" s="304"/>
      <c r="G914" s="304"/>
      <c r="H914" s="304"/>
      <c r="I914" s="304"/>
      <c r="J914" s="304"/>
      <c r="K914" s="304"/>
      <c r="L914" s="304"/>
      <c r="M914" s="304"/>
      <c r="N914" s="304"/>
      <c r="O914" s="304"/>
      <c r="P914" s="304"/>
      <c r="Q914" s="304"/>
      <c r="R914" s="304"/>
      <c r="S914" s="304"/>
      <c r="T914" s="304"/>
      <c r="U914" s="304"/>
      <c r="V914" s="304"/>
      <c r="W914" s="304"/>
      <c r="X914" s="304"/>
      <c r="Y914" s="304"/>
      <c r="Z914" s="304"/>
    </row>
    <row r="915" spans="1:26" x14ac:dyDescent="0.2">
      <c r="A915" s="304"/>
      <c r="B915" s="304"/>
      <c r="C915" s="304"/>
      <c r="D915" s="304"/>
      <c r="E915" s="304"/>
      <c r="F915" s="304"/>
      <c r="G915" s="304"/>
      <c r="H915" s="304"/>
      <c r="I915" s="304"/>
      <c r="J915" s="304"/>
      <c r="K915" s="304"/>
      <c r="L915" s="304"/>
      <c r="M915" s="304"/>
      <c r="N915" s="304"/>
      <c r="O915" s="304"/>
      <c r="P915" s="304"/>
      <c r="Q915" s="304"/>
      <c r="R915" s="304"/>
      <c r="S915" s="304"/>
      <c r="T915" s="304"/>
      <c r="U915" s="304"/>
      <c r="V915" s="304"/>
      <c r="W915" s="304"/>
      <c r="X915" s="304"/>
      <c r="Y915" s="304"/>
      <c r="Z915" s="304"/>
    </row>
    <row r="916" spans="1:26" x14ac:dyDescent="0.2">
      <c r="A916" s="304"/>
      <c r="B916" s="304"/>
      <c r="C916" s="304"/>
      <c r="D916" s="304"/>
      <c r="E916" s="304"/>
      <c r="F916" s="304"/>
      <c r="G916" s="304"/>
      <c r="H916" s="304"/>
      <c r="I916" s="304"/>
      <c r="J916" s="304"/>
      <c r="K916" s="304"/>
      <c r="L916" s="304"/>
      <c r="M916" s="304"/>
      <c r="N916" s="304"/>
      <c r="O916" s="304"/>
      <c r="P916" s="304"/>
      <c r="Q916" s="304"/>
      <c r="R916" s="304"/>
      <c r="S916" s="304"/>
      <c r="T916" s="304"/>
      <c r="U916" s="304"/>
      <c r="V916" s="304"/>
      <c r="W916" s="304"/>
      <c r="X916" s="304"/>
      <c r="Y916" s="304"/>
      <c r="Z916" s="304"/>
    </row>
    <row r="917" spans="1:26" x14ac:dyDescent="0.2">
      <c r="A917" s="304"/>
      <c r="B917" s="304"/>
      <c r="C917" s="304"/>
      <c r="D917" s="304"/>
      <c r="E917" s="304"/>
      <c r="F917" s="304"/>
      <c r="G917" s="304"/>
      <c r="H917" s="304"/>
      <c r="I917" s="304"/>
      <c r="J917" s="304"/>
      <c r="K917" s="304"/>
      <c r="L917" s="304"/>
      <c r="M917" s="304"/>
      <c r="N917" s="304"/>
      <c r="O917" s="304"/>
      <c r="P917" s="304"/>
      <c r="Q917" s="304"/>
      <c r="R917" s="304"/>
      <c r="S917" s="304"/>
      <c r="T917" s="304"/>
      <c r="U917" s="304"/>
      <c r="V917" s="304"/>
      <c r="W917" s="304"/>
      <c r="X917" s="304"/>
      <c r="Y917" s="304"/>
      <c r="Z917" s="304"/>
    </row>
    <row r="918" spans="1:26" x14ac:dyDescent="0.2">
      <c r="A918" s="304"/>
      <c r="B918" s="304"/>
      <c r="C918" s="304"/>
      <c r="D918" s="304"/>
      <c r="E918" s="304"/>
      <c r="F918" s="304"/>
      <c r="G918" s="304"/>
      <c r="H918" s="304"/>
      <c r="I918" s="304"/>
      <c r="J918" s="304"/>
      <c r="K918" s="304"/>
      <c r="L918" s="304"/>
      <c r="M918" s="304"/>
      <c r="N918" s="304"/>
      <c r="O918" s="304"/>
      <c r="P918" s="304"/>
      <c r="Q918" s="304"/>
      <c r="R918" s="304"/>
      <c r="S918" s="304"/>
      <c r="T918" s="304"/>
      <c r="U918" s="304"/>
      <c r="V918" s="304"/>
      <c r="W918" s="304"/>
      <c r="X918" s="304"/>
      <c r="Y918" s="304"/>
      <c r="Z918" s="304"/>
    </row>
    <row r="919" spans="1:26" x14ac:dyDescent="0.2">
      <c r="A919" s="304"/>
      <c r="B919" s="304"/>
      <c r="C919" s="304"/>
      <c r="D919" s="304"/>
      <c r="E919" s="304"/>
      <c r="F919" s="304"/>
      <c r="G919" s="304"/>
      <c r="H919" s="304"/>
      <c r="I919" s="304"/>
      <c r="J919" s="304"/>
      <c r="K919" s="304"/>
      <c r="L919" s="304"/>
      <c r="M919" s="304"/>
      <c r="N919" s="304"/>
      <c r="O919" s="304"/>
      <c r="P919" s="304"/>
      <c r="Q919" s="304"/>
      <c r="R919" s="304"/>
      <c r="S919" s="304"/>
      <c r="T919" s="304"/>
      <c r="U919" s="304"/>
      <c r="V919" s="304"/>
      <c r="W919" s="304"/>
      <c r="X919" s="304"/>
      <c r="Y919" s="304"/>
      <c r="Z919" s="304"/>
    </row>
    <row r="920" spans="1:26" x14ac:dyDescent="0.2">
      <c r="A920" s="304"/>
      <c r="B920" s="304"/>
      <c r="C920" s="304"/>
      <c r="D920" s="304"/>
      <c r="E920" s="304"/>
      <c r="F920" s="304"/>
      <c r="G920" s="304"/>
      <c r="H920" s="304"/>
      <c r="I920" s="304"/>
      <c r="J920" s="304"/>
      <c r="K920" s="304"/>
      <c r="L920" s="304"/>
      <c r="M920" s="304"/>
      <c r="N920" s="304"/>
      <c r="O920" s="304"/>
      <c r="P920" s="304"/>
      <c r="Q920" s="304"/>
      <c r="R920" s="304"/>
      <c r="S920" s="304"/>
      <c r="T920" s="304"/>
      <c r="U920" s="304"/>
      <c r="V920" s="304"/>
      <c r="W920" s="304"/>
      <c r="X920" s="304"/>
      <c r="Y920" s="304"/>
      <c r="Z920" s="304"/>
    </row>
    <row r="921" spans="1:26" x14ac:dyDescent="0.2">
      <c r="A921" s="304"/>
      <c r="B921" s="304"/>
      <c r="C921" s="304"/>
      <c r="D921" s="304"/>
      <c r="E921" s="304"/>
      <c r="F921" s="304"/>
      <c r="G921" s="304"/>
      <c r="H921" s="304"/>
      <c r="I921" s="304"/>
      <c r="J921" s="304"/>
      <c r="K921" s="304"/>
      <c r="L921" s="304"/>
      <c r="M921" s="304"/>
      <c r="N921" s="304"/>
      <c r="O921" s="304"/>
      <c r="P921" s="304"/>
      <c r="Q921" s="304"/>
      <c r="R921" s="304"/>
      <c r="S921" s="304"/>
      <c r="T921" s="304"/>
      <c r="U921" s="304"/>
      <c r="V921" s="304"/>
      <c r="W921" s="304"/>
      <c r="X921" s="304"/>
      <c r="Y921" s="304"/>
      <c r="Z921" s="304"/>
    </row>
    <row r="922" spans="1:26" x14ac:dyDescent="0.2">
      <c r="A922" s="304"/>
      <c r="B922" s="304"/>
      <c r="C922" s="304"/>
      <c r="D922" s="304"/>
      <c r="E922" s="304"/>
      <c r="F922" s="304"/>
      <c r="G922" s="304"/>
      <c r="H922" s="304"/>
      <c r="I922" s="304"/>
      <c r="J922" s="304"/>
      <c r="K922" s="304"/>
      <c r="L922" s="304"/>
      <c r="M922" s="304"/>
      <c r="N922" s="304"/>
      <c r="O922" s="304"/>
      <c r="P922" s="304"/>
      <c r="Q922" s="304"/>
      <c r="R922" s="304"/>
      <c r="S922" s="304"/>
      <c r="T922" s="304"/>
      <c r="U922" s="304"/>
      <c r="V922" s="304"/>
      <c r="W922" s="304"/>
      <c r="X922" s="304"/>
      <c r="Y922" s="304"/>
      <c r="Z922" s="304"/>
    </row>
    <row r="923" spans="1:26" x14ac:dyDescent="0.2">
      <c r="A923" s="304"/>
      <c r="B923" s="304"/>
      <c r="C923" s="304"/>
      <c r="D923" s="304"/>
      <c r="E923" s="304"/>
      <c r="F923" s="304"/>
      <c r="G923" s="304"/>
      <c r="H923" s="304"/>
      <c r="I923" s="304"/>
      <c r="J923" s="304"/>
      <c r="K923" s="304"/>
      <c r="L923" s="304"/>
      <c r="M923" s="304"/>
      <c r="N923" s="304"/>
      <c r="O923" s="304"/>
      <c r="P923" s="304"/>
      <c r="Q923" s="304"/>
      <c r="R923" s="304"/>
      <c r="S923" s="304"/>
      <c r="T923" s="304"/>
      <c r="U923" s="304"/>
      <c r="V923" s="304"/>
      <c r="W923" s="304"/>
      <c r="X923" s="304"/>
      <c r="Y923" s="304"/>
      <c r="Z923" s="304"/>
    </row>
    <row r="924" spans="1:26" x14ac:dyDescent="0.2">
      <c r="A924" s="304"/>
      <c r="B924" s="304"/>
      <c r="C924" s="304"/>
      <c r="D924" s="304"/>
      <c r="E924" s="304"/>
      <c r="F924" s="304"/>
      <c r="G924" s="304"/>
      <c r="H924" s="304"/>
      <c r="I924" s="304"/>
      <c r="J924" s="304"/>
      <c r="K924" s="304"/>
      <c r="L924" s="304"/>
      <c r="M924" s="304"/>
      <c r="N924" s="304"/>
      <c r="O924" s="304"/>
      <c r="P924" s="304"/>
      <c r="Q924" s="304"/>
      <c r="R924" s="304"/>
      <c r="S924" s="304"/>
      <c r="T924" s="304"/>
      <c r="U924" s="304"/>
      <c r="V924" s="304"/>
      <c r="W924" s="304"/>
      <c r="X924" s="304"/>
      <c r="Y924" s="304"/>
      <c r="Z924" s="304"/>
    </row>
    <row r="925" spans="1:26" x14ac:dyDescent="0.2">
      <c r="A925" s="304"/>
      <c r="B925" s="304"/>
      <c r="C925" s="304"/>
      <c r="D925" s="304"/>
      <c r="E925" s="304"/>
      <c r="F925" s="304"/>
      <c r="G925" s="304"/>
      <c r="H925" s="304"/>
      <c r="I925" s="304"/>
      <c r="J925" s="304"/>
      <c r="K925" s="304"/>
      <c r="L925" s="304"/>
      <c r="M925" s="304"/>
      <c r="N925" s="304"/>
      <c r="O925" s="304"/>
      <c r="P925" s="304"/>
      <c r="Q925" s="304"/>
      <c r="R925" s="304"/>
      <c r="S925" s="304"/>
      <c r="T925" s="304"/>
      <c r="U925" s="304"/>
      <c r="V925" s="304"/>
      <c r="W925" s="304"/>
      <c r="X925" s="304"/>
      <c r="Y925" s="304"/>
      <c r="Z925" s="304"/>
    </row>
    <row r="926" spans="1:26" x14ac:dyDescent="0.2">
      <c r="A926" s="304"/>
      <c r="B926" s="304"/>
      <c r="C926" s="304"/>
      <c r="D926" s="304"/>
      <c r="E926" s="304"/>
      <c r="F926" s="304"/>
      <c r="G926" s="304"/>
      <c r="H926" s="304"/>
      <c r="I926" s="304"/>
      <c r="J926" s="304"/>
      <c r="K926" s="304"/>
      <c r="L926" s="304"/>
      <c r="M926" s="304"/>
      <c r="N926" s="304"/>
      <c r="O926" s="304"/>
      <c r="P926" s="304"/>
      <c r="Q926" s="304"/>
      <c r="R926" s="304"/>
      <c r="S926" s="304"/>
      <c r="T926" s="304"/>
      <c r="U926" s="304"/>
      <c r="V926" s="304"/>
      <c r="W926" s="304"/>
      <c r="X926" s="304"/>
      <c r="Y926" s="304"/>
      <c r="Z926" s="304"/>
    </row>
    <row r="927" spans="1:26" x14ac:dyDescent="0.2">
      <c r="A927" s="304"/>
      <c r="B927" s="304"/>
      <c r="C927" s="304"/>
      <c r="D927" s="304"/>
      <c r="E927" s="304"/>
      <c r="F927" s="304"/>
      <c r="G927" s="304"/>
      <c r="H927" s="304"/>
      <c r="I927" s="304"/>
      <c r="J927" s="304"/>
      <c r="K927" s="304"/>
      <c r="L927" s="304"/>
      <c r="M927" s="304"/>
      <c r="N927" s="304"/>
      <c r="O927" s="304"/>
      <c r="P927" s="304"/>
      <c r="Q927" s="304"/>
      <c r="R927" s="304"/>
      <c r="S927" s="304"/>
      <c r="T927" s="304"/>
      <c r="U927" s="304"/>
      <c r="V927" s="304"/>
      <c r="W927" s="304"/>
      <c r="X927" s="304"/>
      <c r="Y927" s="304"/>
      <c r="Z927" s="304"/>
    </row>
    <row r="928" spans="1:26" x14ac:dyDescent="0.2">
      <c r="A928" s="304"/>
      <c r="B928" s="304"/>
      <c r="C928" s="304"/>
      <c r="D928" s="304"/>
      <c r="E928" s="304"/>
      <c r="F928" s="304"/>
      <c r="G928" s="304"/>
      <c r="H928" s="304"/>
      <c r="I928" s="304"/>
      <c r="J928" s="304"/>
      <c r="K928" s="304"/>
      <c r="L928" s="304"/>
      <c r="M928" s="304"/>
      <c r="N928" s="304"/>
      <c r="O928" s="304"/>
      <c r="P928" s="304"/>
      <c r="Q928" s="304"/>
      <c r="R928" s="304"/>
      <c r="S928" s="304"/>
      <c r="T928" s="304"/>
      <c r="U928" s="304"/>
      <c r="V928" s="304"/>
      <c r="W928" s="304"/>
      <c r="X928" s="304"/>
      <c r="Y928" s="304"/>
      <c r="Z928" s="304"/>
    </row>
    <row r="929" spans="1:26" x14ac:dyDescent="0.2">
      <c r="A929" s="304"/>
      <c r="B929" s="304"/>
      <c r="C929" s="304"/>
      <c r="D929" s="304"/>
      <c r="E929" s="304"/>
      <c r="F929" s="304"/>
      <c r="G929" s="304"/>
      <c r="H929" s="304"/>
      <c r="I929" s="304"/>
      <c r="J929" s="304"/>
      <c r="K929" s="304"/>
      <c r="L929" s="304"/>
      <c r="M929" s="304"/>
      <c r="N929" s="304"/>
      <c r="O929" s="304"/>
      <c r="P929" s="304"/>
      <c r="Q929" s="304"/>
      <c r="R929" s="304"/>
      <c r="S929" s="304"/>
      <c r="T929" s="304"/>
      <c r="U929" s="304"/>
      <c r="V929" s="304"/>
      <c r="W929" s="304"/>
      <c r="X929" s="304"/>
      <c r="Y929" s="304"/>
      <c r="Z929" s="304"/>
    </row>
    <row r="930" spans="1:26" x14ac:dyDescent="0.2">
      <c r="A930" s="304"/>
      <c r="B930" s="304"/>
      <c r="C930" s="304"/>
      <c r="D930" s="304"/>
      <c r="E930" s="304"/>
      <c r="F930" s="304"/>
      <c r="G930" s="304"/>
      <c r="H930" s="304"/>
      <c r="I930" s="304"/>
      <c r="J930" s="304"/>
      <c r="K930" s="304"/>
      <c r="L930" s="304"/>
      <c r="M930" s="304"/>
      <c r="N930" s="304"/>
      <c r="O930" s="304"/>
      <c r="P930" s="304"/>
      <c r="Q930" s="304"/>
      <c r="R930" s="304"/>
      <c r="S930" s="304"/>
      <c r="T930" s="304"/>
      <c r="U930" s="304"/>
      <c r="V930" s="304"/>
      <c r="W930" s="304"/>
      <c r="X930" s="304"/>
      <c r="Y930" s="304"/>
      <c r="Z930" s="304"/>
    </row>
    <row r="931" spans="1:26" x14ac:dyDescent="0.2">
      <c r="A931" s="304"/>
      <c r="B931" s="304"/>
      <c r="C931" s="304"/>
      <c r="D931" s="304"/>
      <c r="E931" s="304"/>
      <c r="F931" s="304"/>
      <c r="G931" s="304"/>
      <c r="H931" s="304"/>
      <c r="I931" s="304"/>
      <c r="J931" s="304"/>
      <c r="K931" s="304"/>
      <c r="L931" s="304"/>
      <c r="M931" s="304"/>
      <c r="N931" s="304"/>
      <c r="O931" s="304"/>
      <c r="P931" s="304"/>
      <c r="Q931" s="304"/>
      <c r="R931" s="304"/>
      <c r="S931" s="304"/>
      <c r="T931" s="304"/>
      <c r="U931" s="304"/>
      <c r="V931" s="304"/>
      <c r="W931" s="304"/>
      <c r="X931" s="304"/>
      <c r="Y931" s="304"/>
      <c r="Z931" s="304"/>
    </row>
    <row r="932" spans="1:26" x14ac:dyDescent="0.2">
      <c r="A932" s="304"/>
      <c r="B932" s="304"/>
      <c r="C932" s="304"/>
      <c r="D932" s="304"/>
      <c r="E932" s="304"/>
      <c r="F932" s="304"/>
      <c r="G932" s="304"/>
      <c r="H932" s="304"/>
      <c r="I932" s="304"/>
      <c r="J932" s="304"/>
      <c r="K932" s="304"/>
      <c r="L932" s="304"/>
      <c r="M932" s="304"/>
      <c r="N932" s="304"/>
      <c r="O932" s="304"/>
      <c r="P932" s="304"/>
      <c r="Q932" s="304"/>
      <c r="R932" s="304"/>
      <c r="S932" s="304"/>
      <c r="T932" s="304"/>
      <c r="U932" s="304"/>
      <c r="V932" s="304"/>
      <c r="W932" s="304"/>
      <c r="X932" s="304"/>
      <c r="Y932" s="304"/>
      <c r="Z932" s="304"/>
    </row>
    <row r="933" spans="1:26" x14ac:dyDescent="0.2">
      <c r="A933" s="304"/>
      <c r="B933" s="304"/>
      <c r="C933" s="304"/>
      <c r="D933" s="304"/>
      <c r="E933" s="304"/>
      <c r="F933" s="304"/>
      <c r="G933" s="304"/>
      <c r="H933" s="304"/>
      <c r="I933" s="304"/>
      <c r="J933" s="304"/>
      <c r="K933" s="304"/>
      <c r="L933" s="304"/>
      <c r="M933" s="304"/>
      <c r="N933" s="304"/>
      <c r="O933" s="304"/>
      <c r="P933" s="304"/>
      <c r="Q933" s="304"/>
      <c r="R933" s="304"/>
      <c r="S933" s="304"/>
      <c r="T933" s="304"/>
      <c r="U933" s="304"/>
      <c r="V933" s="304"/>
      <c r="W933" s="304"/>
      <c r="X933" s="304"/>
      <c r="Y933" s="304"/>
      <c r="Z933" s="304"/>
    </row>
    <row r="934" spans="1:26" x14ac:dyDescent="0.2">
      <c r="A934" s="304"/>
      <c r="B934" s="304"/>
      <c r="C934" s="304"/>
      <c r="D934" s="304"/>
      <c r="E934" s="304"/>
      <c r="F934" s="304"/>
      <c r="G934" s="304"/>
      <c r="H934" s="304"/>
      <c r="I934" s="304"/>
      <c r="J934" s="304"/>
      <c r="K934" s="304"/>
      <c r="L934" s="304"/>
      <c r="M934" s="304"/>
      <c r="N934" s="304"/>
      <c r="O934" s="304"/>
      <c r="P934" s="304"/>
      <c r="Q934" s="304"/>
      <c r="R934" s="304"/>
      <c r="S934" s="304"/>
      <c r="T934" s="304"/>
      <c r="U934" s="304"/>
      <c r="V934" s="304"/>
      <c r="W934" s="304"/>
      <c r="X934" s="304"/>
      <c r="Y934" s="304"/>
      <c r="Z934" s="304"/>
    </row>
    <row r="935" spans="1:26" x14ac:dyDescent="0.2">
      <c r="A935" s="304"/>
      <c r="B935" s="304"/>
      <c r="C935" s="304"/>
      <c r="D935" s="304"/>
      <c r="E935" s="304"/>
      <c r="F935" s="304"/>
      <c r="G935" s="304"/>
      <c r="H935" s="304"/>
      <c r="I935" s="304"/>
      <c r="J935" s="304"/>
      <c r="K935" s="304"/>
      <c r="L935" s="304"/>
      <c r="M935" s="304"/>
      <c r="N935" s="304"/>
      <c r="O935" s="304"/>
      <c r="P935" s="304"/>
      <c r="Q935" s="304"/>
      <c r="R935" s="304"/>
      <c r="S935" s="304"/>
      <c r="T935" s="304"/>
      <c r="U935" s="304"/>
      <c r="V935" s="304"/>
      <c r="W935" s="304"/>
      <c r="X935" s="304"/>
      <c r="Y935" s="304"/>
      <c r="Z935" s="304"/>
    </row>
    <row r="936" spans="1:26" x14ac:dyDescent="0.2">
      <c r="A936" s="304"/>
      <c r="B936" s="304"/>
      <c r="C936" s="304"/>
      <c r="D936" s="304"/>
      <c r="E936" s="304"/>
      <c r="F936" s="304"/>
      <c r="G936" s="304"/>
      <c r="H936" s="304"/>
      <c r="I936" s="304"/>
      <c r="J936" s="304"/>
      <c r="K936" s="304"/>
      <c r="L936" s="304"/>
      <c r="M936" s="304"/>
      <c r="N936" s="304"/>
      <c r="O936" s="304"/>
      <c r="P936" s="304"/>
      <c r="Q936" s="304"/>
      <c r="R936" s="304"/>
      <c r="S936" s="304"/>
      <c r="T936" s="304"/>
      <c r="U936" s="304"/>
      <c r="V936" s="304"/>
      <c r="W936" s="304"/>
      <c r="X936" s="304"/>
      <c r="Y936" s="304"/>
      <c r="Z936" s="304"/>
    </row>
    <row r="937" spans="1:26" x14ac:dyDescent="0.2">
      <c r="A937" s="304"/>
      <c r="B937" s="304"/>
      <c r="C937" s="304"/>
      <c r="D937" s="304"/>
      <c r="E937" s="304"/>
      <c r="F937" s="304"/>
      <c r="G937" s="304"/>
      <c r="H937" s="304"/>
      <c r="I937" s="304"/>
      <c r="J937" s="304"/>
      <c r="K937" s="304"/>
      <c r="L937" s="304"/>
      <c r="M937" s="304"/>
      <c r="N937" s="304"/>
      <c r="O937" s="304"/>
      <c r="P937" s="304"/>
      <c r="Q937" s="304"/>
      <c r="R937" s="304"/>
      <c r="S937" s="304"/>
      <c r="T937" s="304"/>
      <c r="U937" s="304"/>
      <c r="V937" s="304"/>
      <c r="W937" s="304"/>
      <c r="X937" s="304"/>
      <c r="Y937" s="304"/>
      <c r="Z937" s="304"/>
    </row>
    <row r="938" spans="1:26" x14ac:dyDescent="0.2">
      <c r="A938" s="304"/>
      <c r="B938" s="304"/>
      <c r="C938" s="304"/>
      <c r="D938" s="304"/>
      <c r="E938" s="304"/>
      <c r="F938" s="304"/>
      <c r="G938" s="304"/>
      <c r="H938" s="304"/>
      <c r="I938" s="304"/>
      <c r="J938" s="304"/>
      <c r="K938" s="304"/>
      <c r="L938" s="304"/>
      <c r="M938" s="304"/>
      <c r="N938" s="304"/>
      <c r="O938" s="304"/>
      <c r="P938" s="304"/>
      <c r="Q938" s="304"/>
      <c r="R938" s="304"/>
      <c r="S938" s="304"/>
      <c r="T938" s="304"/>
      <c r="U938" s="304"/>
      <c r="V938" s="304"/>
      <c r="W938" s="304"/>
      <c r="X938" s="304"/>
      <c r="Y938" s="304"/>
      <c r="Z938" s="304"/>
    </row>
    <row r="939" spans="1:26" x14ac:dyDescent="0.2">
      <c r="A939" s="304"/>
      <c r="B939" s="304"/>
      <c r="C939" s="304"/>
      <c r="D939" s="304"/>
      <c r="E939" s="304"/>
      <c r="F939" s="304"/>
      <c r="G939" s="304"/>
      <c r="H939" s="304"/>
      <c r="I939" s="304"/>
      <c r="J939" s="304"/>
      <c r="K939" s="304"/>
      <c r="L939" s="304"/>
      <c r="M939" s="304"/>
      <c r="N939" s="304"/>
      <c r="O939" s="304"/>
      <c r="P939" s="304"/>
      <c r="Q939" s="304"/>
      <c r="R939" s="304"/>
      <c r="S939" s="304"/>
      <c r="T939" s="304"/>
      <c r="U939" s="304"/>
      <c r="V939" s="304"/>
      <c r="W939" s="304"/>
      <c r="X939" s="304"/>
      <c r="Y939" s="304"/>
      <c r="Z939" s="304"/>
    </row>
    <row r="940" spans="1:26" x14ac:dyDescent="0.2">
      <c r="A940" s="304"/>
      <c r="B940" s="304"/>
      <c r="C940" s="304"/>
      <c r="D940" s="304"/>
      <c r="E940" s="304"/>
      <c r="F940" s="304"/>
      <c r="G940" s="304"/>
      <c r="H940" s="304"/>
      <c r="I940" s="304"/>
      <c r="J940" s="304"/>
      <c r="K940" s="304"/>
      <c r="L940" s="304"/>
      <c r="M940" s="304"/>
      <c r="N940" s="304"/>
      <c r="O940" s="304"/>
      <c r="P940" s="304"/>
      <c r="Q940" s="304"/>
      <c r="R940" s="304"/>
      <c r="S940" s="304"/>
      <c r="T940" s="304"/>
      <c r="U940" s="304"/>
      <c r="V940" s="304"/>
      <c r="W940" s="304"/>
      <c r="X940" s="304"/>
      <c r="Y940" s="304"/>
      <c r="Z940" s="304"/>
    </row>
    <row r="941" spans="1:26" x14ac:dyDescent="0.2">
      <c r="A941" s="304"/>
      <c r="B941" s="304"/>
      <c r="C941" s="304"/>
      <c r="D941" s="304"/>
      <c r="E941" s="304"/>
      <c r="F941" s="304"/>
      <c r="G941" s="304"/>
      <c r="H941" s="304"/>
      <c r="I941" s="304"/>
      <c r="J941" s="304"/>
      <c r="K941" s="304"/>
      <c r="L941" s="304"/>
      <c r="M941" s="304"/>
      <c r="N941" s="304"/>
      <c r="O941" s="304"/>
      <c r="P941" s="304"/>
      <c r="Q941" s="304"/>
      <c r="R941" s="304"/>
      <c r="S941" s="304"/>
      <c r="T941" s="304"/>
      <c r="U941" s="304"/>
      <c r="V941" s="304"/>
      <c r="W941" s="304"/>
      <c r="X941" s="304"/>
      <c r="Y941" s="304"/>
      <c r="Z941" s="304"/>
    </row>
    <row r="942" spans="1:26" x14ac:dyDescent="0.2">
      <c r="A942" s="304"/>
      <c r="B942" s="304"/>
      <c r="C942" s="304"/>
      <c r="D942" s="304"/>
      <c r="E942" s="304"/>
      <c r="F942" s="304"/>
      <c r="G942" s="304"/>
      <c r="H942" s="304"/>
      <c r="I942" s="304"/>
      <c r="J942" s="304"/>
      <c r="K942" s="304"/>
      <c r="L942" s="304"/>
      <c r="M942" s="304"/>
      <c r="N942" s="304"/>
      <c r="O942" s="304"/>
      <c r="P942" s="304"/>
      <c r="Q942" s="304"/>
      <c r="R942" s="304"/>
      <c r="S942" s="304"/>
      <c r="T942" s="304"/>
      <c r="U942" s="304"/>
      <c r="V942" s="304"/>
      <c r="W942" s="304"/>
      <c r="X942" s="304"/>
      <c r="Y942" s="304"/>
      <c r="Z942" s="304"/>
    </row>
    <row r="943" spans="1:26" x14ac:dyDescent="0.2">
      <c r="A943" s="304"/>
      <c r="B943" s="304"/>
      <c r="C943" s="304"/>
      <c r="D943" s="304"/>
      <c r="E943" s="304"/>
      <c r="F943" s="304"/>
      <c r="G943" s="304"/>
      <c r="H943" s="304"/>
      <c r="I943" s="304"/>
      <c r="J943" s="304"/>
      <c r="K943" s="304"/>
      <c r="L943" s="304"/>
      <c r="M943" s="304"/>
      <c r="N943" s="304"/>
      <c r="O943" s="304"/>
      <c r="P943" s="304"/>
      <c r="Q943" s="304"/>
      <c r="R943" s="304"/>
      <c r="S943" s="304"/>
      <c r="T943" s="304"/>
      <c r="U943" s="304"/>
      <c r="V943" s="304"/>
      <c r="W943" s="304"/>
      <c r="X943" s="304"/>
      <c r="Y943" s="304"/>
      <c r="Z943" s="304"/>
    </row>
    <row r="944" spans="1:26" x14ac:dyDescent="0.2">
      <c r="A944" s="304"/>
      <c r="B944" s="304"/>
      <c r="C944" s="304"/>
      <c r="D944" s="304"/>
      <c r="E944" s="304"/>
      <c r="F944" s="304"/>
      <c r="G944" s="304"/>
      <c r="H944" s="304"/>
      <c r="I944" s="304"/>
      <c r="J944" s="304"/>
      <c r="K944" s="304"/>
      <c r="L944" s="304"/>
      <c r="M944" s="304"/>
      <c r="N944" s="304"/>
      <c r="O944" s="304"/>
      <c r="P944" s="304"/>
      <c r="Q944" s="304"/>
      <c r="R944" s="304"/>
      <c r="S944" s="304"/>
      <c r="T944" s="304"/>
      <c r="U944" s="304"/>
      <c r="V944" s="304"/>
      <c r="W944" s="304"/>
      <c r="X944" s="304"/>
      <c r="Y944" s="304"/>
      <c r="Z944" s="304"/>
    </row>
    <row r="945" spans="1:26" x14ac:dyDescent="0.2">
      <c r="A945" s="304"/>
      <c r="B945" s="304"/>
      <c r="C945" s="304"/>
      <c r="D945" s="304"/>
      <c r="E945" s="304"/>
      <c r="F945" s="304"/>
      <c r="G945" s="304"/>
      <c r="H945" s="304"/>
      <c r="I945" s="304"/>
      <c r="J945" s="304"/>
      <c r="K945" s="304"/>
      <c r="L945" s="304"/>
      <c r="M945" s="304"/>
      <c r="N945" s="304"/>
      <c r="O945" s="304"/>
      <c r="P945" s="304"/>
      <c r="Q945" s="304"/>
      <c r="R945" s="304"/>
      <c r="S945" s="304"/>
      <c r="T945" s="304"/>
      <c r="U945" s="304"/>
      <c r="V945" s="304"/>
      <c r="W945" s="304"/>
      <c r="X945" s="304"/>
      <c r="Y945" s="304"/>
      <c r="Z945" s="304"/>
    </row>
    <row r="946" spans="1:26" x14ac:dyDescent="0.2">
      <c r="A946" s="304"/>
      <c r="B946" s="304"/>
      <c r="C946" s="304"/>
      <c r="D946" s="304"/>
      <c r="E946" s="304"/>
      <c r="F946" s="304"/>
      <c r="G946" s="304"/>
      <c r="H946" s="304"/>
      <c r="I946" s="304"/>
      <c r="J946" s="304"/>
      <c r="K946" s="304"/>
      <c r="L946" s="304"/>
      <c r="M946" s="304"/>
      <c r="N946" s="304"/>
      <c r="O946" s="304"/>
      <c r="P946" s="304"/>
      <c r="Q946" s="304"/>
      <c r="R946" s="304"/>
      <c r="S946" s="304"/>
      <c r="T946" s="304"/>
      <c r="U946" s="304"/>
      <c r="V946" s="304"/>
      <c r="W946" s="304"/>
      <c r="X946" s="304"/>
      <c r="Y946" s="304"/>
      <c r="Z946" s="304"/>
    </row>
    <row r="947" spans="1:26" x14ac:dyDescent="0.2">
      <c r="A947" s="304"/>
      <c r="B947" s="304"/>
      <c r="C947" s="304"/>
      <c r="D947" s="304"/>
      <c r="E947" s="304"/>
      <c r="F947" s="304"/>
      <c r="G947" s="304"/>
      <c r="H947" s="304"/>
      <c r="I947" s="304"/>
      <c r="J947" s="304"/>
      <c r="K947" s="304"/>
      <c r="L947" s="304"/>
      <c r="M947" s="304"/>
      <c r="N947" s="304"/>
      <c r="O947" s="304"/>
      <c r="P947" s="304"/>
      <c r="Q947" s="304"/>
      <c r="R947" s="304"/>
      <c r="S947" s="304"/>
      <c r="T947" s="304"/>
      <c r="U947" s="304"/>
      <c r="V947" s="304"/>
      <c r="W947" s="304"/>
      <c r="X947" s="304"/>
      <c r="Y947" s="304"/>
      <c r="Z947" s="304"/>
    </row>
    <row r="948" spans="1:26" x14ac:dyDescent="0.2">
      <c r="A948" s="304"/>
      <c r="B948" s="304"/>
      <c r="C948" s="304"/>
      <c r="D948" s="304"/>
      <c r="E948" s="304"/>
      <c r="F948" s="304"/>
      <c r="G948" s="304"/>
      <c r="H948" s="304"/>
      <c r="I948" s="304"/>
      <c r="J948" s="304"/>
      <c r="K948" s="304"/>
      <c r="L948" s="304"/>
      <c r="M948" s="304"/>
      <c r="N948" s="304"/>
      <c r="O948" s="304"/>
      <c r="P948" s="304"/>
      <c r="Q948" s="304"/>
      <c r="R948" s="304"/>
      <c r="S948" s="304"/>
      <c r="T948" s="304"/>
      <c r="U948" s="304"/>
      <c r="V948" s="304"/>
      <c r="W948" s="304"/>
      <c r="X948" s="304"/>
      <c r="Y948" s="304"/>
      <c r="Z948" s="304"/>
    </row>
    <row r="949" spans="1:26" x14ac:dyDescent="0.2">
      <c r="A949" s="304"/>
      <c r="B949" s="304"/>
      <c r="C949" s="304"/>
      <c r="D949" s="304"/>
      <c r="E949" s="304"/>
      <c r="F949" s="304"/>
      <c r="G949" s="304"/>
      <c r="H949" s="304"/>
      <c r="I949" s="304"/>
      <c r="J949" s="304"/>
      <c r="K949" s="304"/>
      <c r="L949" s="304"/>
      <c r="M949" s="304"/>
      <c r="N949" s="304"/>
      <c r="O949" s="304"/>
      <c r="P949" s="304"/>
      <c r="Q949" s="304"/>
      <c r="R949" s="304"/>
      <c r="S949" s="304"/>
      <c r="T949" s="304"/>
      <c r="U949" s="304"/>
      <c r="V949" s="304"/>
      <c r="W949" s="304"/>
      <c r="X949" s="304"/>
      <c r="Y949" s="304"/>
      <c r="Z949" s="304"/>
    </row>
    <row r="950" spans="1:26" x14ac:dyDescent="0.2">
      <c r="A950" s="304"/>
      <c r="B950" s="304"/>
      <c r="C950" s="304"/>
      <c r="D950" s="304"/>
      <c r="E950" s="304"/>
      <c r="F950" s="304"/>
      <c r="G950" s="304"/>
      <c r="H950" s="304"/>
      <c r="I950" s="304"/>
      <c r="J950" s="304"/>
      <c r="K950" s="304"/>
      <c r="L950" s="304"/>
      <c r="M950" s="304"/>
      <c r="N950" s="304"/>
      <c r="O950" s="304"/>
      <c r="P950" s="304"/>
      <c r="Q950" s="304"/>
      <c r="R950" s="304"/>
      <c r="S950" s="304"/>
      <c r="T950" s="304"/>
      <c r="U950" s="304"/>
      <c r="V950" s="304"/>
      <c r="W950" s="304"/>
      <c r="X950" s="304"/>
      <c r="Y950" s="304"/>
      <c r="Z950" s="304"/>
    </row>
    <row r="951" spans="1:26" x14ac:dyDescent="0.2">
      <c r="A951" s="304"/>
      <c r="B951" s="304"/>
      <c r="C951" s="304"/>
      <c r="D951" s="304"/>
      <c r="E951" s="304"/>
      <c r="F951" s="304"/>
      <c r="G951" s="304"/>
      <c r="H951" s="304"/>
      <c r="I951" s="304"/>
      <c r="J951" s="304"/>
      <c r="K951" s="304"/>
      <c r="L951" s="304"/>
      <c r="M951" s="304"/>
      <c r="N951" s="304"/>
      <c r="O951" s="304"/>
      <c r="P951" s="304"/>
      <c r="Q951" s="304"/>
      <c r="R951" s="304"/>
      <c r="S951" s="304"/>
      <c r="T951" s="304"/>
      <c r="U951" s="304"/>
      <c r="V951" s="304"/>
      <c r="W951" s="304"/>
      <c r="X951" s="304"/>
      <c r="Y951" s="304"/>
      <c r="Z951" s="304"/>
    </row>
    <row r="952" spans="1:26" x14ac:dyDescent="0.2">
      <c r="A952" s="304"/>
      <c r="B952" s="304"/>
      <c r="C952" s="304"/>
      <c r="D952" s="304"/>
      <c r="E952" s="304"/>
      <c r="F952" s="304"/>
      <c r="G952" s="304"/>
      <c r="H952" s="304"/>
      <c r="I952" s="304"/>
      <c r="J952" s="304"/>
      <c r="K952" s="304"/>
      <c r="L952" s="304"/>
      <c r="M952" s="304"/>
      <c r="N952" s="304"/>
      <c r="O952" s="304"/>
      <c r="P952" s="304"/>
      <c r="Q952" s="304"/>
      <c r="R952" s="304"/>
      <c r="S952" s="304"/>
      <c r="T952" s="304"/>
      <c r="U952" s="304"/>
      <c r="V952" s="304"/>
      <c r="W952" s="304"/>
      <c r="X952" s="304"/>
      <c r="Y952" s="304"/>
      <c r="Z952" s="304"/>
    </row>
    <row r="953" spans="1:26" x14ac:dyDescent="0.2">
      <c r="A953" s="304"/>
      <c r="B953" s="304"/>
      <c r="C953" s="304"/>
      <c r="D953" s="304"/>
      <c r="E953" s="304"/>
      <c r="F953" s="304"/>
      <c r="G953" s="304"/>
      <c r="H953" s="304"/>
      <c r="I953" s="304"/>
      <c r="J953" s="304"/>
      <c r="K953" s="304"/>
      <c r="L953" s="304"/>
      <c r="M953" s="304"/>
      <c r="N953" s="304"/>
      <c r="O953" s="304"/>
      <c r="P953" s="304"/>
      <c r="Q953" s="304"/>
      <c r="R953" s="304"/>
      <c r="S953" s="304"/>
      <c r="T953" s="304"/>
      <c r="U953" s="304"/>
      <c r="V953" s="304"/>
      <c r="W953" s="304"/>
      <c r="X953" s="304"/>
      <c r="Y953" s="304"/>
      <c r="Z953" s="304"/>
    </row>
    <row r="954" spans="1:26" x14ac:dyDescent="0.2">
      <c r="A954" s="304"/>
      <c r="B954" s="304"/>
      <c r="C954" s="304"/>
      <c r="D954" s="304"/>
      <c r="E954" s="304"/>
      <c r="F954" s="304"/>
      <c r="G954" s="304"/>
      <c r="H954" s="304"/>
      <c r="I954" s="304"/>
      <c r="J954" s="304"/>
      <c r="K954" s="304"/>
      <c r="L954" s="304"/>
      <c r="M954" s="304"/>
      <c r="N954" s="304"/>
      <c r="O954" s="304"/>
      <c r="P954" s="304"/>
      <c r="Q954" s="304"/>
      <c r="R954" s="304"/>
      <c r="S954" s="304"/>
      <c r="T954" s="304"/>
      <c r="U954" s="304"/>
      <c r="V954" s="304"/>
      <c r="W954" s="304"/>
      <c r="X954" s="304"/>
      <c r="Y954" s="304"/>
      <c r="Z954" s="304"/>
    </row>
    <row r="955" spans="1:26" x14ac:dyDescent="0.2">
      <c r="A955" s="304"/>
      <c r="B955" s="304"/>
      <c r="C955" s="304"/>
      <c r="D955" s="304"/>
      <c r="E955" s="304"/>
      <c r="F955" s="304"/>
      <c r="G955" s="304"/>
      <c r="H955" s="304"/>
      <c r="I955" s="304"/>
      <c r="J955" s="304"/>
      <c r="K955" s="304"/>
      <c r="L955" s="304"/>
      <c r="M955" s="304"/>
      <c r="N955" s="304"/>
      <c r="O955" s="304"/>
      <c r="P955" s="304"/>
      <c r="Q955" s="304"/>
      <c r="R955" s="304"/>
      <c r="S955" s="304"/>
      <c r="T955" s="304"/>
      <c r="U955" s="304"/>
      <c r="V955" s="304"/>
      <c r="W955" s="304"/>
      <c r="X955" s="304"/>
      <c r="Y955" s="304"/>
      <c r="Z955" s="304"/>
    </row>
    <row r="956" spans="1:26" x14ac:dyDescent="0.2">
      <c r="A956" s="304"/>
      <c r="B956" s="304"/>
      <c r="C956" s="304"/>
      <c r="D956" s="304"/>
      <c r="E956" s="304"/>
      <c r="F956" s="304"/>
      <c r="G956" s="304"/>
      <c r="H956" s="304"/>
      <c r="I956" s="304"/>
      <c r="J956" s="304"/>
      <c r="K956" s="304"/>
      <c r="L956" s="304"/>
      <c r="M956" s="304"/>
      <c r="N956" s="304"/>
      <c r="O956" s="304"/>
      <c r="P956" s="304"/>
      <c r="Q956" s="304"/>
      <c r="R956" s="304"/>
      <c r="S956" s="304"/>
      <c r="T956" s="304"/>
      <c r="U956" s="304"/>
      <c r="V956" s="304"/>
      <c r="W956" s="304"/>
      <c r="X956" s="304"/>
      <c r="Y956" s="304"/>
      <c r="Z956" s="304"/>
    </row>
    <row r="957" spans="1:26" x14ac:dyDescent="0.2">
      <c r="A957" s="304"/>
      <c r="B957" s="304"/>
      <c r="C957" s="304"/>
      <c r="D957" s="304"/>
      <c r="E957" s="304"/>
      <c r="F957" s="304"/>
      <c r="G957" s="304"/>
      <c r="H957" s="304"/>
      <c r="I957" s="304"/>
      <c r="J957" s="304"/>
      <c r="K957" s="304"/>
      <c r="L957" s="304"/>
      <c r="M957" s="304"/>
      <c r="N957" s="304"/>
      <c r="O957" s="304"/>
      <c r="P957" s="304"/>
      <c r="Q957" s="304"/>
      <c r="R957" s="304"/>
      <c r="S957" s="304"/>
      <c r="T957" s="304"/>
      <c r="U957" s="304"/>
      <c r="V957" s="304"/>
      <c r="W957" s="304"/>
      <c r="X957" s="304"/>
      <c r="Y957" s="304"/>
      <c r="Z957" s="304"/>
    </row>
    <row r="958" spans="1:26" x14ac:dyDescent="0.2">
      <c r="A958" s="304"/>
      <c r="B958" s="304"/>
      <c r="C958" s="304"/>
      <c r="D958" s="304"/>
      <c r="E958" s="304"/>
      <c r="F958" s="304"/>
      <c r="G958" s="304"/>
      <c r="H958" s="304"/>
      <c r="I958" s="304"/>
      <c r="J958" s="304"/>
      <c r="K958" s="304"/>
      <c r="L958" s="304"/>
      <c r="M958" s="304"/>
      <c r="N958" s="304"/>
      <c r="O958" s="304"/>
      <c r="P958" s="304"/>
      <c r="Q958" s="304"/>
      <c r="R958" s="304"/>
      <c r="S958" s="304"/>
      <c r="T958" s="304"/>
      <c r="U958" s="304"/>
      <c r="V958" s="304"/>
      <c r="W958" s="304"/>
      <c r="X958" s="304"/>
      <c r="Y958" s="304"/>
      <c r="Z958" s="304"/>
    </row>
    <row r="959" spans="1:26" x14ac:dyDescent="0.2">
      <c r="A959" s="304"/>
      <c r="B959" s="304"/>
      <c r="C959" s="304"/>
      <c r="D959" s="304"/>
      <c r="E959" s="304"/>
      <c r="F959" s="304"/>
      <c r="G959" s="304"/>
      <c r="H959" s="304"/>
      <c r="I959" s="304"/>
      <c r="J959" s="304"/>
      <c r="K959" s="304"/>
      <c r="L959" s="304"/>
      <c r="M959" s="304"/>
      <c r="N959" s="304"/>
      <c r="O959" s="304"/>
      <c r="P959" s="304"/>
      <c r="Q959" s="304"/>
      <c r="R959" s="304"/>
      <c r="S959" s="304"/>
      <c r="T959" s="304"/>
      <c r="U959" s="304"/>
      <c r="V959" s="304"/>
      <c r="W959" s="304"/>
      <c r="X959" s="304"/>
      <c r="Y959" s="304"/>
      <c r="Z959" s="304"/>
    </row>
    <row r="960" spans="1:26" x14ac:dyDescent="0.2">
      <c r="A960" s="304"/>
      <c r="B960" s="304"/>
      <c r="C960" s="304"/>
      <c r="D960" s="304"/>
      <c r="E960" s="304"/>
      <c r="F960" s="304"/>
      <c r="G960" s="304"/>
      <c r="H960" s="304"/>
      <c r="I960" s="304"/>
      <c r="J960" s="304"/>
      <c r="K960" s="304"/>
      <c r="L960" s="304"/>
      <c r="M960" s="304"/>
      <c r="N960" s="304"/>
      <c r="O960" s="304"/>
      <c r="P960" s="304"/>
      <c r="Q960" s="304"/>
      <c r="R960" s="304"/>
      <c r="S960" s="304"/>
      <c r="T960" s="304"/>
      <c r="U960" s="304"/>
      <c r="V960" s="304"/>
      <c r="W960" s="304"/>
      <c r="X960" s="304"/>
      <c r="Y960" s="304"/>
      <c r="Z960" s="304"/>
    </row>
    <row r="961" spans="1:26" x14ac:dyDescent="0.2">
      <c r="A961" s="304"/>
      <c r="B961" s="304"/>
      <c r="C961" s="304"/>
      <c r="D961" s="304"/>
      <c r="E961" s="304"/>
      <c r="F961" s="304"/>
      <c r="G961" s="304"/>
      <c r="H961" s="304"/>
      <c r="I961" s="304"/>
      <c r="J961" s="304"/>
      <c r="K961" s="304"/>
      <c r="L961" s="304"/>
      <c r="M961" s="304"/>
      <c r="N961" s="304"/>
      <c r="O961" s="304"/>
      <c r="P961" s="304"/>
      <c r="Q961" s="304"/>
      <c r="R961" s="304"/>
      <c r="S961" s="304"/>
      <c r="T961" s="304"/>
      <c r="U961" s="304"/>
      <c r="V961" s="304"/>
      <c r="W961" s="304"/>
      <c r="X961" s="304"/>
      <c r="Y961" s="304"/>
      <c r="Z961" s="304"/>
    </row>
    <row r="962" spans="1:26" x14ac:dyDescent="0.2">
      <c r="A962" s="304"/>
      <c r="B962" s="304"/>
      <c r="C962" s="304"/>
      <c r="D962" s="304"/>
      <c r="E962" s="304"/>
      <c r="F962" s="304"/>
      <c r="G962" s="304"/>
      <c r="H962" s="304"/>
      <c r="I962" s="304"/>
      <c r="J962" s="304"/>
      <c r="K962" s="304"/>
      <c r="L962" s="304"/>
      <c r="M962" s="304"/>
      <c r="N962" s="304"/>
      <c r="O962" s="304"/>
      <c r="P962" s="304"/>
      <c r="Q962" s="304"/>
      <c r="R962" s="304"/>
      <c r="S962" s="304"/>
      <c r="T962" s="304"/>
      <c r="U962" s="304"/>
      <c r="V962" s="304"/>
      <c r="W962" s="304"/>
      <c r="X962" s="304"/>
      <c r="Y962" s="304"/>
      <c r="Z962" s="304"/>
    </row>
    <row r="963" spans="1:26" x14ac:dyDescent="0.2">
      <c r="A963" s="304"/>
      <c r="B963" s="304"/>
      <c r="C963" s="304"/>
      <c r="D963" s="304"/>
      <c r="E963" s="304"/>
      <c r="F963" s="304"/>
      <c r="G963" s="304"/>
      <c r="H963" s="304"/>
      <c r="I963" s="304"/>
      <c r="J963" s="304"/>
      <c r="K963" s="304"/>
      <c r="L963" s="304"/>
      <c r="M963" s="304"/>
      <c r="N963" s="304"/>
      <c r="O963" s="304"/>
      <c r="P963" s="304"/>
      <c r="Q963" s="304"/>
      <c r="R963" s="304"/>
      <c r="S963" s="304"/>
      <c r="T963" s="304"/>
      <c r="U963" s="304"/>
      <c r="V963" s="304"/>
      <c r="W963" s="304"/>
      <c r="X963" s="304"/>
      <c r="Y963" s="304"/>
      <c r="Z963" s="304"/>
    </row>
    <row r="964" spans="1:26" x14ac:dyDescent="0.2">
      <c r="A964" s="304"/>
      <c r="B964" s="304"/>
      <c r="C964" s="304"/>
      <c r="D964" s="304"/>
      <c r="E964" s="304"/>
      <c r="F964" s="304"/>
      <c r="G964" s="304"/>
      <c r="H964" s="304"/>
      <c r="I964" s="304"/>
      <c r="J964" s="304"/>
      <c r="K964" s="304"/>
      <c r="L964" s="304"/>
      <c r="M964" s="304"/>
      <c r="N964" s="304"/>
      <c r="O964" s="304"/>
      <c r="P964" s="304"/>
      <c r="Q964" s="304"/>
      <c r="R964" s="304"/>
      <c r="S964" s="304"/>
      <c r="T964" s="304"/>
      <c r="U964" s="304"/>
      <c r="V964" s="304"/>
      <c r="W964" s="304"/>
      <c r="X964" s="304"/>
      <c r="Y964" s="304"/>
      <c r="Z964" s="304"/>
    </row>
    <row r="965" spans="1:26" x14ac:dyDescent="0.2">
      <c r="A965" s="304"/>
      <c r="B965" s="304"/>
      <c r="C965" s="304"/>
      <c r="D965" s="304"/>
      <c r="E965" s="304"/>
      <c r="F965" s="304"/>
      <c r="G965" s="304"/>
      <c r="H965" s="304"/>
      <c r="I965" s="304"/>
      <c r="J965" s="304"/>
      <c r="K965" s="304"/>
      <c r="L965" s="304"/>
      <c r="M965" s="304"/>
      <c r="N965" s="304"/>
      <c r="O965" s="304"/>
      <c r="P965" s="304"/>
      <c r="Q965" s="304"/>
      <c r="R965" s="304"/>
      <c r="S965" s="304"/>
      <c r="T965" s="304"/>
      <c r="U965" s="304"/>
      <c r="V965" s="304"/>
      <c r="W965" s="304"/>
      <c r="X965" s="304"/>
      <c r="Y965" s="304"/>
      <c r="Z965" s="304"/>
    </row>
    <row r="966" spans="1:26" x14ac:dyDescent="0.2">
      <c r="A966" s="304"/>
      <c r="B966" s="304"/>
      <c r="C966" s="304"/>
      <c r="D966" s="304"/>
      <c r="E966" s="304"/>
      <c r="F966" s="304"/>
      <c r="G966" s="304"/>
      <c r="H966" s="304"/>
      <c r="I966" s="304"/>
      <c r="J966" s="304"/>
      <c r="K966" s="304"/>
      <c r="L966" s="304"/>
      <c r="M966" s="304"/>
      <c r="N966" s="304"/>
      <c r="O966" s="304"/>
      <c r="P966" s="304"/>
      <c r="Q966" s="304"/>
      <c r="R966" s="304"/>
      <c r="S966" s="304"/>
      <c r="T966" s="304"/>
      <c r="U966" s="304"/>
      <c r="V966" s="304"/>
      <c r="W966" s="304"/>
      <c r="X966" s="304"/>
      <c r="Y966" s="304"/>
      <c r="Z966" s="304"/>
    </row>
    <row r="967" spans="1:26" x14ac:dyDescent="0.2">
      <c r="A967" s="304"/>
      <c r="B967" s="304"/>
      <c r="C967" s="304"/>
      <c r="D967" s="304"/>
      <c r="E967" s="304"/>
      <c r="F967" s="304"/>
      <c r="G967" s="304"/>
      <c r="H967" s="304"/>
      <c r="I967" s="304"/>
      <c r="J967" s="304"/>
      <c r="K967" s="304"/>
      <c r="L967" s="304"/>
      <c r="M967" s="304"/>
      <c r="N967" s="304"/>
      <c r="O967" s="304"/>
      <c r="P967" s="304"/>
      <c r="Q967" s="304"/>
      <c r="R967" s="304"/>
      <c r="S967" s="304"/>
      <c r="T967" s="304"/>
      <c r="U967" s="304"/>
      <c r="V967" s="304"/>
      <c r="W967" s="304"/>
      <c r="X967" s="304"/>
      <c r="Y967" s="304"/>
      <c r="Z967" s="304"/>
    </row>
    <row r="968" spans="1:26" x14ac:dyDescent="0.2">
      <c r="A968" s="304"/>
      <c r="B968" s="304"/>
      <c r="C968" s="304"/>
      <c r="D968" s="304"/>
      <c r="E968" s="304"/>
      <c r="F968" s="304"/>
      <c r="G968" s="304"/>
      <c r="H968" s="304"/>
      <c r="I968" s="304"/>
      <c r="J968" s="304"/>
      <c r="K968" s="304"/>
      <c r="L968" s="304"/>
      <c r="M968" s="304"/>
      <c r="N968" s="304"/>
      <c r="O968" s="304"/>
      <c r="P968" s="304"/>
      <c r="Q968" s="304"/>
      <c r="R968" s="304"/>
      <c r="S968" s="304"/>
      <c r="T968" s="304"/>
      <c r="U968" s="304"/>
      <c r="V968" s="304"/>
      <c r="W968" s="304"/>
      <c r="X968" s="304"/>
      <c r="Y968" s="304"/>
      <c r="Z968" s="304"/>
    </row>
    <row r="969" spans="1:26" x14ac:dyDescent="0.2">
      <c r="A969" s="304"/>
      <c r="B969" s="304"/>
      <c r="C969" s="304"/>
      <c r="D969" s="304"/>
      <c r="E969" s="304"/>
      <c r="F969" s="304"/>
      <c r="G969" s="304"/>
      <c r="H969" s="304"/>
      <c r="I969" s="304"/>
      <c r="J969" s="304"/>
      <c r="K969" s="304"/>
      <c r="L969" s="304"/>
      <c r="M969" s="304"/>
      <c r="N969" s="304"/>
      <c r="O969" s="304"/>
      <c r="P969" s="304"/>
      <c r="Q969" s="304"/>
      <c r="R969" s="304"/>
      <c r="S969" s="304"/>
      <c r="T969" s="304"/>
      <c r="U969" s="304"/>
      <c r="V969" s="304"/>
      <c r="W969" s="304"/>
      <c r="X969" s="304"/>
      <c r="Y969" s="304"/>
      <c r="Z969" s="304"/>
    </row>
    <row r="970" spans="1:26" x14ac:dyDescent="0.2">
      <c r="A970" s="304"/>
      <c r="B970" s="304"/>
      <c r="C970" s="304"/>
      <c r="D970" s="304"/>
      <c r="E970" s="304"/>
      <c r="F970" s="304"/>
      <c r="G970" s="304"/>
      <c r="H970" s="304"/>
      <c r="I970" s="304"/>
      <c r="J970" s="304"/>
      <c r="K970" s="304"/>
      <c r="L970" s="304"/>
      <c r="M970" s="304"/>
      <c r="N970" s="304"/>
      <c r="O970" s="304"/>
      <c r="P970" s="304"/>
      <c r="Q970" s="304"/>
      <c r="R970" s="304"/>
      <c r="S970" s="304"/>
      <c r="T970" s="304"/>
      <c r="U970" s="304"/>
      <c r="V970" s="304"/>
      <c r="W970" s="304"/>
      <c r="X970" s="304"/>
      <c r="Y970" s="304"/>
      <c r="Z970" s="304"/>
    </row>
    <row r="971" spans="1:26" x14ac:dyDescent="0.2">
      <c r="A971" s="304"/>
      <c r="B971" s="304"/>
      <c r="C971" s="304"/>
      <c r="D971" s="304"/>
      <c r="E971" s="304"/>
      <c r="F971" s="304"/>
      <c r="G971" s="304"/>
      <c r="H971" s="304"/>
      <c r="I971" s="304"/>
      <c r="J971" s="304"/>
      <c r="K971" s="304"/>
      <c r="L971" s="304"/>
      <c r="M971" s="304"/>
      <c r="N971" s="304"/>
      <c r="O971" s="304"/>
      <c r="P971" s="304"/>
      <c r="Q971" s="304"/>
      <c r="R971" s="304"/>
      <c r="S971" s="304"/>
      <c r="T971" s="304"/>
      <c r="U971" s="304"/>
      <c r="V971" s="304"/>
      <c r="W971" s="304"/>
      <c r="X971" s="304"/>
      <c r="Y971" s="304"/>
      <c r="Z971" s="304"/>
    </row>
    <row r="972" spans="1:26" x14ac:dyDescent="0.2">
      <c r="A972" s="304"/>
      <c r="B972" s="304"/>
      <c r="C972" s="304"/>
      <c r="D972" s="304"/>
      <c r="E972" s="304"/>
      <c r="F972" s="304"/>
      <c r="G972" s="304"/>
      <c r="H972" s="304"/>
      <c r="I972" s="304"/>
      <c r="J972" s="304"/>
      <c r="K972" s="304"/>
      <c r="L972" s="304"/>
      <c r="M972" s="304"/>
      <c r="N972" s="304"/>
      <c r="O972" s="304"/>
      <c r="P972" s="304"/>
      <c r="Q972" s="304"/>
      <c r="R972" s="304"/>
      <c r="S972" s="304"/>
      <c r="T972" s="304"/>
      <c r="U972" s="304"/>
      <c r="V972" s="304"/>
      <c r="W972" s="304"/>
      <c r="X972" s="304"/>
      <c r="Y972" s="304"/>
      <c r="Z972" s="304"/>
    </row>
    <row r="973" spans="1:26" x14ac:dyDescent="0.2">
      <c r="A973" s="304"/>
      <c r="B973" s="304"/>
      <c r="C973" s="304"/>
      <c r="D973" s="304"/>
      <c r="E973" s="304"/>
      <c r="F973" s="304"/>
      <c r="G973" s="304"/>
      <c r="H973" s="304"/>
      <c r="I973" s="304"/>
      <c r="J973" s="304"/>
      <c r="K973" s="304"/>
      <c r="L973" s="304"/>
      <c r="M973" s="304"/>
      <c r="N973" s="304"/>
      <c r="O973" s="304"/>
      <c r="P973" s="304"/>
      <c r="Q973" s="304"/>
      <c r="R973" s="304"/>
      <c r="S973" s="304"/>
      <c r="T973" s="304"/>
      <c r="U973" s="304"/>
      <c r="V973" s="304"/>
      <c r="W973" s="304"/>
      <c r="X973" s="304"/>
      <c r="Y973" s="304"/>
      <c r="Z973" s="304"/>
    </row>
    <row r="974" spans="1:26" x14ac:dyDescent="0.2">
      <c r="A974" s="304"/>
      <c r="B974" s="304"/>
      <c r="C974" s="304"/>
      <c r="D974" s="304"/>
      <c r="E974" s="304"/>
      <c r="F974" s="304"/>
      <c r="G974" s="304"/>
      <c r="H974" s="304"/>
      <c r="I974" s="304"/>
      <c r="J974" s="304"/>
      <c r="K974" s="304"/>
      <c r="L974" s="304"/>
      <c r="M974" s="304"/>
      <c r="N974" s="304"/>
      <c r="O974" s="304"/>
      <c r="P974" s="304"/>
      <c r="Q974" s="304"/>
      <c r="R974" s="304"/>
      <c r="S974" s="304"/>
      <c r="T974" s="304"/>
      <c r="U974" s="304"/>
      <c r="V974" s="304"/>
      <c r="W974" s="304"/>
      <c r="X974" s="304"/>
      <c r="Y974" s="304"/>
      <c r="Z974" s="304"/>
    </row>
    <row r="975" spans="1:26" x14ac:dyDescent="0.2">
      <c r="A975" s="304"/>
      <c r="B975" s="304"/>
      <c r="C975" s="304"/>
      <c r="D975" s="304"/>
      <c r="E975" s="304"/>
      <c r="F975" s="304"/>
      <c r="G975" s="304"/>
      <c r="H975" s="304"/>
      <c r="I975" s="304"/>
      <c r="J975" s="304"/>
      <c r="K975" s="304"/>
      <c r="L975" s="304"/>
      <c r="M975" s="304"/>
      <c r="N975" s="304"/>
      <c r="O975" s="304"/>
      <c r="P975" s="304"/>
      <c r="Q975" s="304"/>
      <c r="R975" s="304"/>
      <c r="S975" s="304"/>
      <c r="T975" s="304"/>
      <c r="U975" s="304"/>
      <c r="V975" s="304"/>
      <c r="W975" s="304"/>
      <c r="X975" s="304"/>
      <c r="Y975" s="304"/>
      <c r="Z975" s="304"/>
    </row>
    <row r="976" spans="1:26" x14ac:dyDescent="0.2">
      <c r="A976" s="304"/>
      <c r="B976" s="304"/>
      <c r="C976" s="304"/>
      <c r="D976" s="304"/>
      <c r="E976" s="304"/>
      <c r="F976" s="304"/>
      <c r="G976" s="304"/>
      <c r="H976" s="304"/>
      <c r="I976" s="304"/>
      <c r="J976" s="304"/>
      <c r="K976" s="304"/>
      <c r="L976" s="304"/>
      <c r="M976" s="304"/>
      <c r="N976" s="304"/>
      <c r="O976" s="304"/>
      <c r="P976" s="304"/>
      <c r="Q976" s="304"/>
      <c r="R976" s="304"/>
      <c r="S976" s="304"/>
      <c r="T976" s="304"/>
      <c r="U976" s="304"/>
      <c r="V976" s="304"/>
      <c r="W976" s="304"/>
      <c r="X976" s="304"/>
      <c r="Y976" s="304"/>
      <c r="Z976" s="304"/>
    </row>
    <row r="977" spans="1:26" x14ac:dyDescent="0.2">
      <c r="A977" s="304"/>
      <c r="B977" s="304"/>
      <c r="C977" s="304"/>
      <c r="D977" s="304"/>
      <c r="E977" s="304"/>
      <c r="F977" s="304"/>
      <c r="G977" s="304"/>
      <c r="H977" s="304"/>
      <c r="I977" s="304"/>
      <c r="J977" s="304"/>
      <c r="K977" s="304"/>
      <c r="L977" s="304"/>
      <c r="M977" s="304"/>
      <c r="N977" s="304"/>
      <c r="O977" s="304"/>
      <c r="P977" s="304"/>
      <c r="Q977" s="304"/>
      <c r="R977" s="304"/>
      <c r="S977" s="304"/>
      <c r="T977" s="304"/>
      <c r="U977" s="304"/>
      <c r="V977" s="304"/>
      <c r="W977" s="304"/>
      <c r="X977" s="304"/>
      <c r="Y977" s="304"/>
      <c r="Z977" s="304"/>
    </row>
    <row r="978" spans="1:26" x14ac:dyDescent="0.2">
      <c r="A978" s="304"/>
      <c r="B978" s="304"/>
      <c r="C978" s="304"/>
      <c r="D978" s="304"/>
      <c r="E978" s="304"/>
      <c r="F978" s="304"/>
      <c r="G978" s="304"/>
      <c r="H978" s="304"/>
      <c r="I978" s="304"/>
      <c r="J978" s="304"/>
      <c r="K978" s="304"/>
      <c r="L978" s="304"/>
      <c r="M978" s="304"/>
      <c r="N978" s="304"/>
      <c r="O978" s="304"/>
      <c r="P978" s="304"/>
      <c r="Q978" s="304"/>
      <c r="R978" s="304"/>
      <c r="S978" s="304"/>
      <c r="T978" s="304"/>
      <c r="U978" s="304"/>
      <c r="V978" s="304"/>
      <c r="W978" s="304"/>
      <c r="X978" s="304"/>
      <c r="Y978" s="304"/>
      <c r="Z978" s="304"/>
    </row>
    <row r="979" spans="1:26" x14ac:dyDescent="0.2">
      <c r="A979" s="304"/>
      <c r="B979" s="304"/>
      <c r="C979" s="304"/>
      <c r="D979" s="304"/>
      <c r="E979" s="304"/>
      <c r="F979" s="304"/>
      <c r="G979" s="304"/>
      <c r="H979" s="304"/>
      <c r="I979" s="304"/>
      <c r="J979" s="304"/>
      <c r="K979" s="304"/>
      <c r="L979" s="304"/>
      <c r="M979" s="304"/>
      <c r="N979" s="304"/>
      <c r="O979" s="304"/>
      <c r="P979" s="304"/>
      <c r="Q979" s="304"/>
      <c r="R979" s="304"/>
      <c r="S979" s="304"/>
      <c r="T979" s="304"/>
      <c r="U979" s="304"/>
      <c r="V979" s="304"/>
      <c r="W979" s="304"/>
      <c r="X979" s="304"/>
      <c r="Y979" s="304"/>
      <c r="Z979" s="304"/>
    </row>
    <row r="980" spans="1:26" x14ac:dyDescent="0.2">
      <c r="A980" s="304"/>
      <c r="B980" s="304"/>
      <c r="C980" s="304"/>
      <c r="D980" s="304"/>
      <c r="E980" s="304"/>
      <c r="F980" s="304"/>
      <c r="G980" s="304"/>
      <c r="H980" s="304"/>
      <c r="I980" s="304"/>
      <c r="J980" s="304"/>
      <c r="K980" s="304"/>
      <c r="L980" s="304"/>
      <c r="M980" s="304"/>
      <c r="N980" s="304"/>
      <c r="O980" s="304"/>
      <c r="P980" s="304"/>
      <c r="Q980" s="304"/>
      <c r="R980" s="304"/>
      <c r="S980" s="304"/>
      <c r="T980" s="304"/>
      <c r="U980" s="304"/>
      <c r="V980" s="304"/>
      <c r="W980" s="304"/>
      <c r="X980" s="304"/>
      <c r="Y980" s="304"/>
      <c r="Z980" s="304"/>
    </row>
    <row r="981" spans="1:26" x14ac:dyDescent="0.2">
      <c r="A981" s="304"/>
      <c r="B981" s="304"/>
      <c r="C981" s="304"/>
      <c r="D981" s="304"/>
      <c r="E981" s="304"/>
      <c r="F981" s="304"/>
      <c r="G981" s="304"/>
      <c r="H981" s="304"/>
      <c r="I981" s="304"/>
      <c r="J981" s="304"/>
      <c r="K981" s="304"/>
      <c r="L981" s="304"/>
      <c r="M981" s="304"/>
      <c r="N981" s="304"/>
      <c r="O981" s="304"/>
      <c r="P981" s="304"/>
      <c r="Q981" s="304"/>
      <c r="R981" s="304"/>
      <c r="S981" s="304"/>
      <c r="T981" s="304"/>
      <c r="U981" s="304"/>
      <c r="V981" s="304"/>
      <c r="W981" s="304"/>
      <c r="X981" s="304"/>
      <c r="Y981" s="304"/>
      <c r="Z981" s="304"/>
    </row>
    <row r="982" spans="1:26" x14ac:dyDescent="0.2">
      <c r="A982" s="304"/>
      <c r="B982" s="304"/>
      <c r="C982" s="304"/>
      <c r="D982" s="304"/>
      <c r="E982" s="304"/>
      <c r="F982" s="304"/>
      <c r="G982" s="304"/>
      <c r="H982" s="304"/>
      <c r="I982" s="304"/>
      <c r="J982" s="304"/>
      <c r="K982" s="304"/>
      <c r="L982" s="304"/>
      <c r="M982" s="304"/>
      <c r="N982" s="304"/>
      <c r="O982" s="304"/>
      <c r="P982" s="304"/>
      <c r="Q982" s="304"/>
      <c r="R982" s="304"/>
      <c r="S982" s="304"/>
      <c r="T982" s="304"/>
      <c r="U982" s="304"/>
      <c r="V982" s="304"/>
      <c r="W982" s="304"/>
      <c r="X982" s="304"/>
      <c r="Y982" s="304"/>
      <c r="Z982" s="304"/>
    </row>
    <row r="983" spans="1:26" x14ac:dyDescent="0.2">
      <c r="A983" s="304"/>
      <c r="B983" s="304"/>
      <c r="C983" s="304"/>
      <c r="D983" s="304"/>
      <c r="E983" s="304"/>
      <c r="F983" s="304"/>
      <c r="G983" s="304"/>
      <c r="H983" s="304"/>
      <c r="I983" s="304"/>
      <c r="J983" s="304"/>
      <c r="K983" s="304"/>
      <c r="L983" s="304"/>
      <c r="M983" s="304"/>
      <c r="N983" s="304"/>
      <c r="O983" s="304"/>
      <c r="P983" s="304"/>
      <c r="Q983" s="304"/>
      <c r="R983" s="304"/>
      <c r="S983" s="304"/>
      <c r="T983" s="304"/>
      <c r="U983" s="304"/>
      <c r="V983" s="304"/>
      <c r="W983" s="304"/>
      <c r="X983" s="304"/>
      <c r="Y983" s="304"/>
      <c r="Z983" s="304"/>
    </row>
    <row r="984" spans="1:26" x14ac:dyDescent="0.2">
      <c r="A984" s="304"/>
      <c r="B984" s="304"/>
      <c r="C984" s="304"/>
      <c r="D984" s="304"/>
      <c r="E984" s="304"/>
      <c r="F984" s="304"/>
      <c r="G984" s="304"/>
      <c r="H984" s="304"/>
      <c r="I984" s="304"/>
      <c r="J984" s="304"/>
      <c r="K984" s="304"/>
      <c r="L984" s="304"/>
      <c r="M984" s="304"/>
      <c r="N984" s="304"/>
      <c r="O984" s="304"/>
      <c r="P984" s="304"/>
      <c r="Q984" s="304"/>
      <c r="R984" s="304"/>
      <c r="S984" s="304"/>
      <c r="T984" s="304"/>
      <c r="U984" s="304"/>
      <c r="V984" s="304"/>
      <c r="W984" s="304"/>
      <c r="X984" s="304"/>
      <c r="Y984" s="304"/>
      <c r="Z984" s="304"/>
    </row>
    <row r="985" spans="1:26" x14ac:dyDescent="0.2">
      <c r="A985" s="304"/>
      <c r="B985" s="304"/>
      <c r="C985" s="304"/>
      <c r="D985" s="304"/>
      <c r="E985" s="304"/>
      <c r="F985" s="304"/>
      <c r="G985" s="304"/>
      <c r="H985" s="304"/>
      <c r="I985" s="304"/>
      <c r="J985" s="304"/>
      <c r="K985" s="304"/>
      <c r="L985" s="304"/>
      <c r="M985" s="304"/>
      <c r="N985" s="304"/>
      <c r="O985" s="304"/>
      <c r="P985" s="304"/>
      <c r="Q985" s="304"/>
      <c r="R985" s="304"/>
      <c r="S985" s="304"/>
      <c r="T985" s="304"/>
      <c r="U985" s="304"/>
      <c r="V985" s="304"/>
      <c r="W985" s="304"/>
      <c r="X985" s="304"/>
      <c r="Y985" s="304"/>
      <c r="Z985" s="304"/>
    </row>
    <row r="986" spans="1:26" x14ac:dyDescent="0.2">
      <c r="A986" s="304"/>
      <c r="B986" s="304"/>
      <c r="C986" s="304"/>
      <c r="D986" s="304"/>
      <c r="E986" s="304"/>
      <c r="F986" s="304"/>
      <c r="G986" s="304"/>
      <c r="H986" s="304"/>
      <c r="I986" s="304"/>
      <c r="J986" s="304"/>
      <c r="K986" s="304"/>
      <c r="L986" s="304"/>
      <c r="M986" s="304"/>
      <c r="N986" s="304"/>
      <c r="O986" s="304"/>
      <c r="P986" s="304"/>
      <c r="Q986" s="304"/>
      <c r="R986" s="304"/>
      <c r="S986" s="304"/>
      <c r="T986" s="304"/>
      <c r="U986" s="304"/>
      <c r="V986" s="304"/>
      <c r="W986" s="304"/>
      <c r="X986" s="304"/>
      <c r="Y986" s="304"/>
      <c r="Z986" s="304"/>
    </row>
    <row r="987" spans="1:26" x14ac:dyDescent="0.2">
      <c r="A987" s="304"/>
      <c r="B987" s="304"/>
      <c r="C987" s="304"/>
      <c r="D987" s="304"/>
      <c r="E987" s="304"/>
      <c r="F987" s="304"/>
      <c r="G987" s="304"/>
      <c r="H987" s="304"/>
      <c r="I987" s="304"/>
      <c r="J987" s="304"/>
      <c r="K987" s="304"/>
      <c r="L987" s="304"/>
      <c r="M987" s="304"/>
      <c r="N987" s="304"/>
      <c r="O987" s="304"/>
      <c r="P987" s="304"/>
      <c r="Q987" s="304"/>
      <c r="R987" s="304"/>
      <c r="S987" s="304"/>
      <c r="T987" s="304"/>
      <c r="U987" s="304"/>
      <c r="V987" s="304"/>
      <c r="W987" s="304"/>
      <c r="X987" s="304"/>
      <c r="Y987" s="304"/>
      <c r="Z987" s="304"/>
    </row>
    <row r="988" spans="1:26" x14ac:dyDescent="0.2">
      <c r="A988" s="304"/>
      <c r="B988" s="304"/>
      <c r="C988" s="304"/>
      <c r="D988" s="304"/>
      <c r="E988" s="304"/>
      <c r="F988" s="304"/>
      <c r="G988" s="304"/>
      <c r="H988" s="304"/>
      <c r="I988" s="304"/>
      <c r="J988" s="304"/>
      <c r="K988" s="304"/>
      <c r="L988" s="304"/>
      <c r="M988" s="304"/>
      <c r="N988" s="304"/>
      <c r="O988" s="304"/>
      <c r="P988" s="304"/>
      <c r="Q988" s="304"/>
      <c r="R988" s="304"/>
      <c r="S988" s="304"/>
      <c r="T988" s="304"/>
      <c r="U988" s="304"/>
      <c r="V988" s="304"/>
      <c r="W988" s="304"/>
      <c r="X988" s="304"/>
      <c r="Y988" s="304"/>
      <c r="Z988" s="304"/>
    </row>
    <row r="989" spans="1:26" x14ac:dyDescent="0.2">
      <c r="A989" s="304"/>
      <c r="B989" s="304"/>
      <c r="C989" s="304"/>
      <c r="D989" s="304"/>
      <c r="E989" s="304"/>
      <c r="F989" s="304"/>
      <c r="G989" s="304"/>
      <c r="H989" s="304"/>
      <c r="I989" s="304"/>
      <c r="J989" s="304"/>
      <c r="K989" s="304"/>
      <c r="L989" s="304"/>
      <c r="M989" s="304"/>
      <c r="N989" s="304"/>
      <c r="O989" s="304"/>
      <c r="P989" s="304"/>
      <c r="Q989" s="304"/>
      <c r="R989" s="304"/>
      <c r="S989" s="304"/>
      <c r="T989" s="304"/>
      <c r="U989" s="304"/>
      <c r="V989" s="304"/>
      <c r="W989" s="304"/>
      <c r="X989" s="304"/>
      <c r="Y989" s="304"/>
      <c r="Z989" s="304"/>
    </row>
    <row r="990" spans="1:26" x14ac:dyDescent="0.2">
      <c r="A990" s="304"/>
      <c r="B990" s="304"/>
      <c r="C990" s="304"/>
      <c r="D990" s="304"/>
      <c r="E990" s="304"/>
      <c r="F990" s="304"/>
      <c r="G990" s="304"/>
      <c r="H990" s="304"/>
      <c r="I990" s="304"/>
      <c r="J990" s="304"/>
      <c r="K990" s="304"/>
      <c r="L990" s="304"/>
      <c r="M990" s="304"/>
      <c r="N990" s="304"/>
      <c r="O990" s="304"/>
      <c r="P990" s="304"/>
      <c r="Q990" s="304"/>
      <c r="R990" s="304"/>
      <c r="S990" s="304"/>
      <c r="T990" s="304"/>
      <c r="U990" s="304"/>
      <c r="V990" s="304"/>
      <c r="W990" s="304"/>
      <c r="X990" s="304"/>
      <c r="Y990" s="304"/>
      <c r="Z990" s="304"/>
    </row>
    <row r="991" spans="1:26" x14ac:dyDescent="0.2">
      <c r="A991" s="304"/>
      <c r="B991" s="304"/>
      <c r="C991" s="304"/>
      <c r="D991" s="304"/>
      <c r="E991" s="304"/>
      <c r="F991" s="304"/>
      <c r="G991" s="304"/>
      <c r="H991" s="304"/>
      <c r="I991" s="304"/>
      <c r="J991" s="304"/>
      <c r="K991" s="304"/>
      <c r="L991" s="304"/>
      <c r="M991" s="304"/>
      <c r="N991" s="304"/>
      <c r="O991" s="304"/>
      <c r="P991" s="304"/>
      <c r="Q991" s="304"/>
      <c r="R991" s="304"/>
      <c r="S991" s="304"/>
      <c r="T991" s="304"/>
      <c r="U991" s="304"/>
      <c r="V991" s="304"/>
      <c r="W991" s="304"/>
      <c r="X991" s="304"/>
      <c r="Y991" s="304"/>
      <c r="Z991" s="304"/>
    </row>
    <row r="992" spans="1:26" x14ac:dyDescent="0.2">
      <c r="A992" s="304"/>
      <c r="B992" s="304"/>
      <c r="C992" s="304"/>
      <c r="D992" s="304"/>
      <c r="E992" s="304"/>
      <c r="F992" s="304"/>
      <c r="G992" s="304"/>
      <c r="H992" s="304"/>
      <c r="I992" s="304"/>
      <c r="J992" s="304"/>
      <c r="K992" s="304"/>
      <c r="L992" s="304"/>
      <c r="M992" s="304"/>
      <c r="N992" s="304"/>
      <c r="O992" s="304"/>
      <c r="P992" s="304"/>
      <c r="Q992" s="304"/>
      <c r="R992" s="304"/>
      <c r="S992" s="304"/>
      <c r="T992" s="304"/>
      <c r="U992" s="304"/>
      <c r="V992" s="304"/>
      <c r="W992" s="304"/>
      <c r="X992" s="304"/>
      <c r="Y992" s="304"/>
      <c r="Z992" s="304"/>
    </row>
    <row r="993" spans="1:26" x14ac:dyDescent="0.2">
      <c r="A993" s="304"/>
      <c r="B993" s="304"/>
      <c r="C993" s="304"/>
      <c r="D993" s="304"/>
      <c r="E993" s="304"/>
      <c r="F993" s="304"/>
      <c r="G993" s="304"/>
      <c r="H993" s="304"/>
      <c r="I993" s="304"/>
      <c r="J993" s="304"/>
      <c r="K993" s="304"/>
      <c r="L993" s="304"/>
      <c r="M993" s="304"/>
      <c r="N993" s="304"/>
      <c r="O993" s="304"/>
      <c r="P993" s="304"/>
      <c r="Q993" s="304"/>
      <c r="R993" s="304"/>
      <c r="S993" s="304"/>
      <c r="T993" s="304"/>
      <c r="U993" s="304"/>
      <c r="V993" s="304"/>
      <c r="W993" s="304"/>
      <c r="X993" s="304"/>
      <c r="Y993" s="304"/>
      <c r="Z993" s="304"/>
    </row>
    <row r="994" spans="1:26" x14ac:dyDescent="0.2">
      <c r="A994" s="304"/>
      <c r="B994" s="304"/>
      <c r="C994" s="304"/>
      <c r="D994" s="304"/>
      <c r="E994" s="304"/>
      <c r="F994" s="304"/>
      <c r="G994" s="304"/>
      <c r="H994" s="304"/>
      <c r="I994" s="304"/>
      <c r="J994" s="304"/>
      <c r="K994" s="304"/>
      <c r="L994" s="304"/>
      <c r="M994" s="304"/>
      <c r="N994" s="304"/>
      <c r="O994" s="304"/>
      <c r="P994" s="304"/>
      <c r="Q994" s="304"/>
      <c r="R994" s="304"/>
      <c r="S994" s="304"/>
      <c r="T994" s="304"/>
      <c r="U994" s="304"/>
      <c r="V994" s="304"/>
      <c r="W994" s="304"/>
      <c r="X994" s="304"/>
      <c r="Y994" s="304"/>
      <c r="Z994" s="304"/>
    </row>
    <row r="995" spans="1:26" x14ac:dyDescent="0.2">
      <c r="A995" s="304"/>
      <c r="B995" s="304"/>
      <c r="C995" s="304"/>
      <c r="D995" s="304"/>
      <c r="E995" s="304"/>
      <c r="F995" s="304"/>
      <c r="G995" s="304"/>
      <c r="H995" s="304"/>
      <c r="I995" s="304"/>
      <c r="J995" s="304"/>
      <c r="K995" s="304"/>
      <c r="L995" s="304"/>
      <c r="M995" s="304"/>
      <c r="N995" s="304"/>
      <c r="O995" s="304"/>
      <c r="P995" s="304"/>
      <c r="Q995" s="304"/>
      <c r="R995" s="304"/>
      <c r="S995" s="304"/>
      <c r="T995" s="304"/>
      <c r="U995" s="304"/>
      <c r="V995" s="304"/>
      <c r="W995" s="304"/>
      <c r="X995" s="304"/>
      <c r="Y995" s="304"/>
      <c r="Z995" s="304"/>
    </row>
    <row r="996" spans="1:26" x14ac:dyDescent="0.2">
      <c r="A996" s="304"/>
      <c r="B996" s="304"/>
      <c r="C996" s="304"/>
      <c r="D996" s="304"/>
      <c r="E996" s="304"/>
      <c r="F996" s="304"/>
      <c r="G996" s="304"/>
      <c r="H996" s="304"/>
      <c r="I996" s="304"/>
      <c r="J996" s="304"/>
      <c r="K996" s="304"/>
      <c r="L996" s="304"/>
      <c r="M996" s="304"/>
      <c r="N996" s="304"/>
      <c r="O996" s="304"/>
      <c r="P996" s="304"/>
      <c r="Q996" s="304"/>
      <c r="R996" s="304"/>
      <c r="S996" s="304"/>
      <c r="T996" s="304"/>
      <c r="U996" s="304"/>
      <c r="V996" s="304"/>
      <c r="W996" s="304"/>
      <c r="X996" s="304"/>
      <c r="Y996" s="304"/>
      <c r="Z996" s="304"/>
    </row>
    <row r="997" spans="1:26" x14ac:dyDescent="0.2">
      <c r="A997" s="304"/>
      <c r="B997" s="304"/>
      <c r="C997" s="304"/>
      <c r="D997" s="304"/>
      <c r="E997" s="304"/>
      <c r="F997" s="304"/>
      <c r="G997" s="304"/>
      <c r="H997" s="304"/>
      <c r="I997" s="304"/>
      <c r="J997" s="304"/>
      <c r="K997" s="304"/>
      <c r="L997" s="304"/>
      <c r="M997" s="304"/>
      <c r="N997" s="304"/>
      <c r="O997" s="304"/>
      <c r="P997" s="304"/>
      <c r="Q997" s="304"/>
      <c r="R997" s="304"/>
      <c r="S997" s="304"/>
      <c r="T997" s="304"/>
      <c r="U997" s="304"/>
      <c r="V997" s="304"/>
      <c r="W997" s="304"/>
      <c r="X997" s="304"/>
      <c r="Y997" s="304"/>
      <c r="Z997" s="304"/>
    </row>
    <row r="998" spans="1:26" x14ac:dyDescent="0.2">
      <c r="A998" s="304"/>
      <c r="B998" s="304"/>
      <c r="C998" s="304"/>
      <c r="D998" s="304"/>
      <c r="E998" s="304"/>
      <c r="F998" s="304"/>
      <c r="G998" s="304"/>
      <c r="H998" s="304"/>
      <c r="I998" s="304"/>
      <c r="J998" s="304"/>
      <c r="K998" s="304"/>
      <c r="L998" s="304"/>
      <c r="M998" s="304"/>
      <c r="N998" s="304"/>
      <c r="O998" s="304"/>
      <c r="P998" s="304"/>
      <c r="Q998" s="304"/>
      <c r="R998" s="304"/>
      <c r="S998" s="304"/>
      <c r="T998" s="304"/>
      <c r="U998" s="304"/>
      <c r="V998" s="304"/>
      <c r="W998" s="304"/>
      <c r="X998" s="304"/>
      <c r="Y998" s="304"/>
      <c r="Z998" s="304"/>
    </row>
    <row r="999" spans="1:26" x14ac:dyDescent="0.2">
      <c r="A999" s="304"/>
      <c r="B999" s="304"/>
      <c r="C999" s="304"/>
      <c r="D999" s="304"/>
      <c r="E999" s="304"/>
      <c r="F999" s="304"/>
      <c r="G999" s="304"/>
      <c r="H999" s="304"/>
      <c r="I999" s="304"/>
      <c r="J999" s="304"/>
      <c r="K999" s="304"/>
      <c r="L999" s="304"/>
      <c r="M999" s="304"/>
      <c r="N999" s="304"/>
      <c r="O999" s="304"/>
      <c r="P999" s="304"/>
      <c r="Q999" s="304"/>
      <c r="R999" s="304"/>
      <c r="S999" s="304"/>
      <c r="T999" s="304"/>
      <c r="U999" s="304"/>
      <c r="V999" s="304"/>
      <c r="W999" s="304"/>
      <c r="X999" s="304"/>
      <c r="Y999" s="304"/>
      <c r="Z999" s="304"/>
    </row>
    <row r="1000" spans="1:26" x14ac:dyDescent="0.2">
      <c r="A1000" s="304"/>
      <c r="B1000" s="304"/>
      <c r="C1000" s="304"/>
      <c r="D1000" s="304"/>
      <c r="E1000" s="304"/>
      <c r="F1000" s="304"/>
      <c r="G1000" s="304"/>
      <c r="H1000" s="304"/>
      <c r="I1000" s="304"/>
      <c r="J1000" s="304"/>
      <c r="K1000" s="304"/>
      <c r="L1000" s="304"/>
      <c r="M1000" s="304"/>
      <c r="N1000" s="304"/>
      <c r="O1000" s="304"/>
      <c r="P1000" s="304"/>
      <c r="Q1000" s="304"/>
      <c r="R1000" s="304"/>
      <c r="S1000" s="304"/>
      <c r="T1000" s="304"/>
      <c r="U1000" s="304"/>
      <c r="V1000" s="304"/>
      <c r="W1000" s="304"/>
      <c r="X1000" s="304"/>
      <c r="Y1000" s="304"/>
      <c r="Z1000" s="304"/>
    </row>
    <row r="1001" spans="1:26" x14ac:dyDescent="0.2">
      <c r="A1001" s="304"/>
      <c r="B1001" s="304"/>
      <c r="C1001" s="304"/>
      <c r="D1001" s="304"/>
      <c r="E1001" s="304"/>
      <c r="F1001" s="304"/>
      <c r="G1001" s="304"/>
      <c r="H1001" s="304"/>
      <c r="I1001" s="304"/>
      <c r="J1001" s="304"/>
      <c r="K1001" s="304"/>
      <c r="L1001" s="304"/>
      <c r="M1001" s="304"/>
      <c r="N1001" s="304"/>
      <c r="O1001" s="304"/>
      <c r="P1001" s="304"/>
      <c r="Q1001" s="304"/>
      <c r="R1001" s="304"/>
      <c r="S1001" s="304"/>
      <c r="T1001" s="304"/>
      <c r="U1001" s="304"/>
      <c r="V1001" s="304"/>
      <c r="W1001" s="304"/>
      <c r="X1001" s="304"/>
      <c r="Y1001" s="304"/>
      <c r="Z1001" s="304"/>
    </row>
    <row r="1002" spans="1:26" x14ac:dyDescent="0.2">
      <c r="A1002" s="304"/>
      <c r="B1002" s="304"/>
      <c r="C1002" s="304"/>
      <c r="D1002" s="304"/>
      <c r="E1002" s="304"/>
      <c r="F1002" s="304"/>
      <c r="G1002" s="304"/>
      <c r="H1002" s="304"/>
      <c r="I1002" s="304"/>
      <c r="J1002" s="304"/>
      <c r="K1002" s="304"/>
      <c r="L1002" s="304"/>
      <c r="M1002" s="304"/>
      <c r="N1002" s="304"/>
      <c r="O1002" s="304"/>
      <c r="P1002" s="304"/>
      <c r="Q1002" s="304"/>
      <c r="R1002" s="304"/>
      <c r="S1002" s="304"/>
      <c r="T1002" s="304"/>
      <c r="U1002" s="304"/>
      <c r="V1002" s="304"/>
      <c r="W1002" s="304"/>
      <c r="X1002" s="304"/>
      <c r="Y1002" s="304"/>
      <c r="Z1002" s="304"/>
    </row>
    <row r="1003" spans="1:26" x14ac:dyDescent="0.2">
      <c r="A1003" s="304"/>
      <c r="B1003" s="304"/>
      <c r="C1003" s="304"/>
      <c r="D1003" s="304"/>
      <c r="E1003" s="304"/>
      <c r="F1003" s="304"/>
      <c r="G1003" s="304"/>
      <c r="H1003" s="304"/>
      <c r="I1003" s="304"/>
      <c r="J1003" s="304"/>
      <c r="K1003" s="304"/>
      <c r="L1003" s="304"/>
      <c r="M1003" s="304"/>
      <c r="N1003" s="304"/>
      <c r="O1003" s="304"/>
      <c r="P1003" s="304"/>
      <c r="Q1003" s="304"/>
      <c r="R1003" s="304"/>
      <c r="S1003" s="304"/>
      <c r="T1003" s="304"/>
      <c r="U1003" s="304"/>
      <c r="V1003" s="304"/>
      <c r="W1003" s="304"/>
      <c r="X1003" s="304"/>
      <c r="Y1003" s="304"/>
      <c r="Z1003" s="304"/>
    </row>
    <row r="1004" spans="1:26" x14ac:dyDescent="0.2">
      <c r="A1004" s="304"/>
      <c r="B1004" s="304"/>
      <c r="C1004" s="304"/>
      <c r="D1004" s="304"/>
      <c r="E1004" s="304"/>
      <c r="F1004" s="304"/>
      <c r="G1004" s="304"/>
      <c r="H1004" s="304"/>
      <c r="I1004" s="304"/>
      <c r="J1004" s="304"/>
      <c r="K1004" s="304"/>
      <c r="L1004" s="304"/>
      <c r="M1004" s="304"/>
      <c r="N1004" s="304"/>
      <c r="O1004" s="304"/>
      <c r="P1004" s="304"/>
      <c r="Q1004" s="304"/>
      <c r="R1004" s="304"/>
      <c r="S1004" s="304"/>
      <c r="T1004" s="304"/>
      <c r="U1004" s="304"/>
      <c r="V1004" s="304"/>
      <c r="W1004" s="304"/>
      <c r="X1004" s="304"/>
      <c r="Y1004" s="304"/>
      <c r="Z1004" s="304"/>
    </row>
  </sheetData>
  <mergeCells count="21">
    <mergeCell ref="E126:F126"/>
    <mergeCell ref="E127:F127"/>
    <mergeCell ref="E128:F128"/>
    <mergeCell ref="E120:F120"/>
    <mergeCell ref="E121:F121"/>
    <mergeCell ref="E122:F122"/>
    <mergeCell ref="E123:F123"/>
    <mergeCell ref="E124:F124"/>
    <mergeCell ref="E125:F125"/>
    <mergeCell ref="B119:G119"/>
    <mergeCell ref="B13:G13"/>
    <mergeCell ref="B24:G24"/>
    <mergeCell ref="B32:G32"/>
    <mergeCell ref="B40:G40"/>
    <mergeCell ref="B50:G50"/>
    <mergeCell ref="B59:G59"/>
    <mergeCell ref="B69:G69"/>
    <mergeCell ref="B77:G77"/>
    <mergeCell ref="B85:G85"/>
    <mergeCell ref="B95:G95"/>
    <mergeCell ref="B107:G107"/>
  </mergeCells>
  <pageMargins left="0.7" right="0.7" top="0.75" bottom="0.75" header="0.3" footer="0.3"/>
  <pageSetup paperSize="3" scale="90" fitToHeight="0" orientation="landscape" horizontalDpi="1200" verticalDpi="1200" r:id="rId1"/>
  <headerFooter>
    <oddHeader>&amp;LSuppment Sheets : Massing &amp;CTEAM :2021-1920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A81F-FA65-42F6-9E20-E9C1BFB1E73D}">
  <dimension ref="B2:U124"/>
  <sheetViews>
    <sheetView view="pageLayout" topLeftCell="A6" zoomScale="85" zoomScaleNormal="80" zoomScalePageLayoutView="85" workbookViewId="0">
      <selection activeCell="B3" sqref="B3:N20"/>
    </sheetView>
  </sheetViews>
  <sheetFormatPr defaultColWidth="8.85546875" defaultRowHeight="12.75" x14ac:dyDescent="0.2"/>
  <cols>
    <col min="1" max="1" width="4.28515625" style="1" customWidth="1"/>
    <col min="2" max="2" width="29.28515625" style="1" customWidth="1"/>
    <col min="3" max="3" width="12.28515625" style="1" customWidth="1"/>
    <col min="4" max="4" width="10.7109375" style="1" customWidth="1"/>
    <col min="5" max="5" width="11.7109375" style="1" customWidth="1"/>
    <col min="6" max="14" width="10.7109375" style="1" customWidth="1"/>
    <col min="15" max="15" width="8.85546875" style="1"/>
    <col min="16" max="16" width="26.7109375" style="269" hidden="1" customWidth="1"/>
    <col min="17" max="17" width="10.28515625" style="269" hidden="1" customWidth="1"/>
    <col min="18" max="18" width="12.7109375" style="269" hidden="1" customWidth="1"/>
    <col min="19" max="19" width="5.7109375" style="269" hidden="1" customWidth="1"/>
    <col min="20" max="20" width="10.85546875" style="269" hidden="1" customWidth="1"/>
    <col min="21" max="21" width="11.85546875" style="269" hidden="1" customWidth="1"/>
    <col min="22" max="16384" width="8.85546875" style="1"/>
  </cols>
  <sheetData>
    <row r="2" spans="2:21" x14ac:dyDescent="0.2">
      <c r="B2" s="267" t="s">
        <v>158</v>
      </c>
      <c r="M2" s="1" t="s">
        <v>623</v>
      </c>
    </row>
    <row r="3" spans="2:21" x14ac:dyDescent="0.2">
      <c r="B3" s="119" t="s">
        <v>577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274" t="s">
        <v>578</v>
      </c>
      <c r="Q3" s="274" t="s">
        <v>257</v>
      </c>
      <c r="R3" s="274" t="s">
        <v>579</v>
      </c>
      <c r="S3" s="274" t="s">
        <v>580</v>
      </c>
      <c r="T3" s="274" t="s">
        <v>581</v>
      </c>
      <c r="U3" s="274" t="s">
        <v>582</v>
      </c>
    </row>
    <row r="4" spans="2:21" x14ac:dyDescent="0.2">
      <c r="B4" s="8"/>
      <c r="C4" s="8"/>
      <c r="D4" s="112" t="s">
        <v>2</v>
      </c>
      <c r="E4" s="102" t="s">
        <v>115</v>
      </c>
      <c r="F4" s="103"/>
      <c r="G4" s="104"/>
      <c r="H4" s="105" t="s">
        <v>116</v>
      </c>
      <c r="I4" s="106"/>
      <c r="J4" s="107"/>
      <c r="K4" s="108" t="s">
        <v>117</v>
      </c>
      <c r="L4" s="109"/>
      <c r="M4" s="111"/>
      <c r="N4" s="110"/>
      <c r="P4" s="269" t="s">
        <v>174</v>
      </c>
      <c r="Q4" s="498" t="s">
        <v>3</v>
      </c>
      <c r="R4" s="499">
        <f>'[2]Development Summary'!D510+'[2]Development Summary'!D406+'[2]Development Summary'!D314</f>
        <v>280536</v>
      </c>
      <c r="S4" s="269" t="s">
        <v>329</v>
      </c>
      <c r="T4" s="122">
        <f>[2]Assumptions!D13</f>
        <v>8</v>
      </c>
      <c r="U4" s="500">
        <f t="shared" ref="U4:U25" si="0">T4*R4</f>
        <v>2244288</v>
      </c>
    </row>
    <row r="5" spans="2:21" x14ac:dyDescent="0.2">
      <c r="B5" s="5"/>
      <c r="C5" s="5"/>
      <c r="D5" s="113" t="s">
        <v>4</v>
      </c>
      <c r="E5" s="82">
        <v>2023</v>
      </c>
      <c r="F5" s="81">
        <f>E5+1</f>
        <v>2024</v>
      </c>
      <c r="G5" s="81">
        <f t="shared" ref="G5:L5" si="1">F5+1</f>
        <v>2025</v>
      </c>
      <c r="H5" s="81">
        <f t="shared" si="1"/>
        <v>2026</v>
      </c>
      <c r="I5" s="81">
        <f t="shared" si="1"/>
        <v>2027</v>
      </c>
      <c r="J5" s="81">
        <f t="shared" si="1"/>
        <v>2028</v>
      </c>
      <c r="K5" s="81">
        <f t="shared" si="1"/>
        <v>2029</v>
      </c>
      <c r="L5" s="81">
        <f t="shared" si="1"/>
        <v>2030</v>
      </c>
      <c r="M5" s="96">
        <f>L5+1</f>
        <v>2031</v>
      </c>
      <c r="N5" s="81">
        <f>M5+1</f>
        <v>2032</v>
      </c>
      <c r="P5" s="269" t="s">
        <v>174</v>
      </c>
      <c r="Q5" s="501" t="s">
        <v>215</v>
      </c>
      <c r="R5" s="499">
        <f>'[2]Development Summary'!D239+'[2]Development Summary'!D164</f>
        <v>161326.29999999999</v>
      </c>
      <c r="S5" s="269" t="s">
        <v>329</v>
      </c>
      <c r="T5" s="122">
        <f>T4</f>
        <v>8</v>
      </c>
      <c r="U5" s="500">
        <f t="shared" si="0"/>
        <v>1290610.3999999999</v>
      </c>
    </row>
    <row r="6" spans="2:21" x14ac:dyDescent="0.2">
      <c r="B6" s="513" t="s">
        <v>164</v>
      </c>
      <c r="C6" s="514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6"/>
      <c r="P6" s="269" t="s">
        <v>174</v>
      </c>
      <c r="Q6" s="502" t="s">
        <v>216</v>
      </c>
      <c r="R6" s="499">
        <f>'[2]Development Summary'!D98+'[2]Development Summary'!D15</f>
        <v>154928</v>
      </c>
      <c r="S6" s="269" t="s">
        <v>329</v>
      </c>
      <c r="T6" s="122">
        <f>T5</f>
        <v>8</v>
      </c>
      <c r="U6" s="500">
        <f t="shared" si="0"/>
        <v>1239424</v>
      </c>
    </row>
    <row r="7" spans="2:21" x14ac:dyDescent="0.2">
      <c r="B7" s="517" t="s">
        <v>156</v>
      </c>
      <c r="C7" s="518" t="s">
        <v>595</v>
      </c>
      <c r="D7" s="519"/>
      <c r="E7" s="519">
        <f>' Infrastructure Schedule'!$R$4/1</f>
        <v>280536</v>
      </c>
      <c r="F7" s="519"/>
      <c r="G7" s="519"/>
      <c r="H7" s="519">
        <f>' Infrastructure Schedule'!$R$5/1</f>
        <v>161326.29999999999</v>
      </c>
      <c r="I7" s="519"/>
      <c r="J7" s="519"/>
      <c r="K7" s="519">
        <f>' Infrastructure Schedule'!$R$6/1</f>
        <v>154928</v>
      </c>
      <c r="L7" s="519"/>
      <c r="M7" s="519"/>
      <c r="N7" s="520"/>
      <c r="P7" s="269" t="s">
        <v>165</v>
      </c>
      <c r="Q7" s="498" t="s">
        <v>3</v>
      </c>
      <c r="R7" s="499">
        <f>2000*2</f>
        <v>4000</v>
      </c>
      <c r="S7" s="269" t="s">
        <v>329</v>
      </c>
      <c r="T7" s="122">
        <v>10</v>
      </c>
      <c r="U7" s="500">
        <f t="shared" si="0"/>
        <v>40000</v>
      </c>
    </row>
    <row r="8" spans="2:21" x14ac:dyDescent="0.2">
      <c r="B8" s="517" t="s">
        <v>163</v>
      </c>
      <c r="C8" s="518" t="s">
        <v>595</v>
      </c>
      <c r="D8" s="519"/>
      <c r="E8" s="519">
        <f>$R$10/1</f>
        <v>280536</v>
      </c>
      <c r="F8" s="519"/>
      <c r="G8" s="519"/>
      <c r="H8" s="519">
        <f>$R$11/2</f>
        <v>80663.149999999994</v>
      </c>
      <c r="I8" s="519">
        <f>$R$11/2</f>
        <v>80663.149999999994</v>
      </c>
      <c r="J8" s="519"/>
      <c r="K8" s="519">
        <f>$R$12/2</f>
        <v>77464</v>
      </c>
      <c r="L8" s="519">
        <f>$R$12/2</f>
        <v>77464</v>
      </c>
      <c r="M8" s="519"/>
      <c r="N8" s="520"/>
      <c r="P8" s="269" t="s">
        <v>165</v>
      </c>
      <c r="Q8" s="501" t="s">
        <v>215</v>
      </c>
      <c r="R8" s="499">
        <f>2000*2</f>
        <v>4000</v>
      </c>
      <c r="S8" s="269" t="s">
        <v>329</v>
      </c>
      <c r="T8" s="122">
        <v>10</v>
      </c>
      <c r="U8" s="500">
        <f t="shared" si="0"/>
        <v>40000</v>
      </c>
    </row>
    <row r="9" spans="2:21" x14ac:dyDescent="0.2">
      <c r="B9" s="517" t="str">
        <f>P13</f>
        <v>Road Demolition</v>
      </c>
      <c r="C9" s="518" t="s">
        <v>595</v>
      </c>
      <c r="D9" s="519"/>
      <c r="E9" s="519">
        <f>$R$13/1</f>
        <v>0</v>
      </c>
      <c r="F9" s="519"/>
      <c r="G9" s="519"/>
      <c r="H9" s="519">
        <f>$R$14/2</f>
        <v>45035.9</v>
      </c>
      <c r="I9" s="519">
        <f>$R$14/2</f>
        <v>45035.9</v>
      </c>
      <c r="J9" s="519"/>
      <c r="K9" s="519">
        <f>$R$13/2</f>
        <v>0</v>
      </c>
      <c r="L9" s="519"/>
      <c r="M9" s="519"/>
      <c r="N9" s="520"/>
      <c r="P9" s="269" t="s">
        <v>165</v>
      </c>
      <c r="Q9" s="502" t="s">
        <v>216</v>
      </c>
      <c r="R9" s="499">
        <f>2000*2</f>
        <v>4000</v>
      </c>
      <c r="S9" s="269" t="s">
        <v>329</v>
      </c>
      <c r="T9" s="122">
        <v>10</v>
      </c>
      <c r="U9" s="500">
        <f t="shared" si="0"/>
        <v>40000</v>
      </c>
    </row>
    <row r="10" spans="2:21" x14ac:dyDescent="0.2">
      <c r="B10" s="517" t="s">
        <v>165</v>
      </c>
      <c r="C10" s="518" t="s">
        <v>595</v>
      </c>
      <c r="D10" s="519"/>
      <c r="E10" s="519">
        <f>$R$7/3</f>
        <v>1333.3333333333333</v>
      </c>
      <c r="F10" s="519">
        <f t="shared" ref="F10:G10" si="2">$R$7/3</f>
        <v>1333.3333333333333</v>
      </c>
      <c r="G10" s="519">
        <f t="shared" si="2"/>
        <v>1333.3333333333333</v>
      </c>
      <c r="H10" s="519">
        <f>$R$8/3</f>
        <v>1333.3333333333333</v>
      </c>
      <c r="I10" s="519">
        <f t="shared" ref="I10:J10" si="3">$R$8/3</f>
        <v>1333.3333333333333</v>
      </c>
      <c r="J10" s="519">
        <f t="shared" si="3"/>
        <v>1333.3333333333333</v>
      </c>
      <c r="K10" s="519">
        <f>$R$8/4</f>
        <v>1000</v>
      </c>
      <c r="L10" s="519">
        <f t="shared" ref="L10:N10" si="4">$R$8/4</f>
        <v>1000</v>
      </c>
      <c r="M10" s="519">
        <f t="shared" si="4"/>
        <v>1000</v>
      </c>
      <c r="N10" s="520">
        <f t="shared" si="4"/>
        <v>1000</v>
      </c>
      <c r="P10" s="269" t="s">
        <v>583</v>
      </c>
      <c r="Q10" s="498" t="s">
        <v>3</v>
      </c>
      <c r="R10" s="499">
        <f>R4</f>
        <v>280536</v>
      </c>
      <c r="S10" s="269" t="s">
        <v>329</v>
      </c>
      <c r="T10" s="122">
        <v>2</v>
      </c>
      <c r="U10" s="500">
        <f t="shared" si="0"/>
        <v>561072</v>
      </c>
    </row>
    <row r="11" spans="2:21" x14ac:dyDescent="0.2">
      <c r="B11" s="521" t="s">
        <v>167</v>
      </c>
      <c r="C11" s="522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20"/>
      <c r="P11" s="269" t="s">
        <v>583</v>
      </c>
      <c r="Q11" s="501" t="s">
        <v>215</v>
      </c>
      <c r="R11" s="499">
        <f>R5</f>
        <v>161326.29999999999</v>
      </c>
      <c r="S11" s="269" t="s">
        <v>329</v>
      </c>
      <c r="T11" s="122">
        <f>T10</f>
        <v>2</v>
      </c>
      <c r="U11" s="500">
        <f t="shared" si="0"/>
        <v>322652.59999999998</v>
      </c>
    </row>
    <row r="12" spans="2:21" x14ac:dyDescent="0.2">
      <c r="B12" s="517" t="s">
        <v>166</v>
      </c>
      <c r="C12" s="518" t="s">
        <v>595</v>
      </c>
      <c r="D12" s="522"/>
      <c r="E12" s="519">
        <f>$R$22/2</f>
        <v>18422.129999999997</v>
      </c>
      <c r="F12" s="519">
        <f>$R$22/2</f>
        <v>18422.129999999997</v>
      </c>
      <c r="G12" s="519"/>
      <c r="H12" s="519">
        <f>$R$23/2</f>
        <v>32743.200000000004</v>
      </c>
      <c r="I12" s="519">
        <f>$R$23/2</f>
        <v>32743.200000000004</v>
      </c>
      <c r="J12" s="519"/>
      <c r="K12" s="519">
        <f>$R$22/2</f>
        <v>18422.129999999997</v>
      </c>
      <c r="L12" s="519">
        <f>$R$22/2</f>
        <v>18422.129999999997</v>
      </c>
      <c r="M12" s="519"/>
      <c r="N12" s="520"/>
      <c r="P12" s="269" t="s">
        <v>583</v>
      </c>
      <c r="Q12" s="502" t="s">
        <v>216</v>
      </c>
      <c r="R12" s="499">
        <f>R6</f>
        <v>154928</v>
      </c>
      <c r="S12" s="269" t="s">
        <v>329</v>
      </c>
      <c r="T12" s="122">
        <f>T11</f>
        <v>2</v>
      </c>
      <c r="U12" s="500">
        <f t="shared" si="0"/>
        <v>309856</v>
      </c>
    </row>
    <row r="13" spans="2:21" x14ac:dyDescent="0.2">
      <c r="B13" s="517" t="s">
        <v>168</v>
      </c>
      <c r="C13" s="518" t="s">
        <v>595</v>
      </c>
      <c r="D13" s="519"/>
      <c r="E13" s="519"/>
      <c r="F13" s="519">
        <f>$R$26/2</f>
        <v>42984.97</v>
      </c>
      <c r="G13" s="519">
        <f>$R$26/2</f>
        <v>42984.97</v>
      </c>
      <c r="H13" s="519"/>
      <c r="I13" s="519">
        <f>$R$29/2</f>
        <v>89911.57</v>
      </c>
      <c r="J13" s="519">
        <f>$R$29/2</f>
        <v>89911.57</v>
      </c>
      <c r="K13" s="519"/>
      <c r="L13" s="519">
        <f>$R$33/3</f>
        <v>10008.803333333335</v>
      </c>
      <c r="M13" s="519">
        <f t="shared" ref="M13:N13" si="5">$R$33/3</f>
        <v>10008.803333333335</v>
      </c>
      <c r="N13" s="520">
        <f t="shared" si="5"/>
        <v>10008.803333333335</v>
      </c>
      <c r="P13" s="269" t="s">
        <v>584</v>
      </c>
      <c r="Q13" s="498" t="s">
        <v>3</v>
      </c>
      <c r="R13" s="499">
        <v>0</v>
      </c>
      <c r="S13" s="269" t="s">
        <v>329</v>
      </c>
      <c r="T13" s="122">
        <v>6</v>
      </c>
      <c r="U13" s="500">
        <f t="shared" si="0"/>
        <v>0</v>
      </c>
    </row>
    <row r="14" spans="2:21" x14ac:dyDescent="0.2">
      <c r="B14" s="517" t="s">
        <v>244</v>
      </c>
      <c r="C14" s="518"/>
      <c r="D14" s="519"/>
      <c r="E14" s="519">
        <f>$R$16/2</f>
        <v>1908</v>
      </c>
      <c r="F14" s="519">
        <f>$R$16/2</f>
        <v>1908</v>
      </c>
      <c r="G14" s="519"/>
      <c r="H14" s="519">
        <f>$R$17/2</f>
        <v>1942</v>
      </c>
      <c r="I14" s="519">
        <f>$R$17/2</f>
        <v>1942</v>
      </c>
      <c r="J14" s="519"/>
      <c r="K14" s="519"/>
      <c r="L14" s="519"/>
      <c r="M14" s="519"/>
      <c r="N14" s="520"/>
      <c r="P14" s="269" t="s">
        <v>584</v>
      </c>
      <c r="Q14" s="501" t="s">
        <v>215</v>
      </c>
      <c r="R14" s="499">
        <f>'[2]Development Summary'!D165*2</f>
        <v>90071.8</v>
      </c>
      <c r="S14" s="269" t="s">
        <v>329</v>
      </c>
      <c r="T14" s="122">
        <v>6</v>
      </c>
      <c r="U14" s="500">
        <f t="shared" si="0"/>
        <v>540430.80000000005</v>
      </c>
    </row>
    <row r="15" spans="2:21" x14ac:dyDescent="0.2">
      <c r="B15" s="521" t="s">
        <v>170</v>
      </c>
      <c r="C15" s="518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20"/>
      <c r="P15" s="269" t="s">
        <v>584</v>
      </c>
      <c r="Q15" s="502" t="s">
        <v>216</v>
      </c>
      <c r="R15" s="499">
        <v>0</v>
      </c>
      <c r="S15" s="269" t="s">
        <v>329</v>
      </c>
      <c r="T15" s="122">
        <v>6</v>
      </c>
      <c r="U15" s="500">
        <f t="shared" si="0"/>
        <v>0</v>
      </c>
    </row>
    <row r="16" spans="2:21" ht="13.9" customHeight="1" x14ac:dyDescent="0.2">
      <c r="B16" s="517" t="s">
        <v>169</v>
      </c>
      <c r="C16" s="518" t="s">
        <v>595</v>
      </c>
      <c r="D16" s="519"/>
      <c r="E16" s="519">
        <f>$R$35/3</f>
        <v>34984.333333333336</v>
      </c>
      <c r="F16" s="519">
        <f t="shared" ref="F16:G16" si="6">$R$35/3</f>
        <v>34984.333333333336</v>
      </c>
      <c r="G16" s="519">
        <f t="shared" si="6"/>
        <v>34984.333333333336</v>
      </c>
      <c r="H16" s="519">
        <f>$R$36/3</f>
        <v>10785.666666666666</v>
      </c>
      <c r="I16" s="519">
        <f t="shared" ref="I16" si="7">$R$36/3</f>
        <v>10785.666666666666</v>
      </c>
      <c r="J16" s="519">
        <f>$R$36/3</f>
        <v>10785.666666666666</v>
      </c>
      <c r="K16" s="519">
        <f>$R$37/4</f>
        <v>1612.5</v>
      </c>
      <c r="L16" s="519">
        <f t="shared" ref="L16:N16" si="8">$R$37/4</f>
        <v>1612.5</v>
      </c>
      <c r="M16" s="519">
        <f t="shared" si="8"/>
        <v>1612.5</v>
      </c>
      <c r="N16" s="520">
        <f t="shared" si="8"/>
        <v>1612.5</v>
      </c>
      <c r="P16" s="269" t="s">
        <v>244</v>
      </c>
      <c r="Q16" s="498" t="s">
        <v>3</v>
      </c>
      <c r="R16" s="499">
        <f>'[2]Development Summary'!D401</f>
        <v>3816</v>
      </c>
      <c r="S16" s="269" t="s">
        <v>329</v>
      </c>
      <c r="T16" s="122">
        <f>[2]Assumptions!D19</f>
        <v>50</v>
      </c>
      <c r="U16" s="500">
        <f t="shared" si="0"/>
        <v>190800</v>
      </c>
    </row>
    <row r="17" spans="2:21" x14ac:dyDescent="0.2">
      <c r="B17" s="517" t="s">
        <v>171</v>
      </c>
      <c r="C17" s="518" t="s">
        <v>595</v>
      </c>
      <c r="D17" s="522"/>
      <c r="E17" s="519">
        <f>$R$19/3</f>
        <v>33.333333333333336</v>
      </c>
      <c r="F17" s="519">
        <f t="shared" ref="F17:G17" si="9">$R$19/3</f>
        <v>33.333333333333336</v>
      </c>
      <c r="G17" s="519">
        <f t="shared" si="9"/>
        <v>33.333333333333336</v>
      </c>
      <c r="H17" s="519">
        <f>$R$20/3</f>
        <v>33.333333333333336</v>
      </c>
      <c r="I17" s="519">
        <f t="shared" ref="I17:J17" si="10">$R$20/3</f>
        <v>33.333333333333336</v>
      </c>
      <c r="J17" s="519">
        <f t="shared" si="10"/>
        <v>33.333333333333336</v>
      </c>
      <c r="K17" s="519">
        <f>$R$21/4</f>
        <v>37.5</v>
      </c>
      <c r="L17" s="519">
        <f t="shared" ref="L17:N17" si="11">$R$21/4</f>
        <v>37.5</v>
      </c>
      <c r="M17" s="519">
        <f t="shared" si="11"/>
        <v>37.5</v>
      </c>
      <c r="N17" s="520">
        <f t="shared" si="11"/>
        <v>37.5</v>
      </c>
      <c r="P17" s="269" t="s">
        <v>244</v>
      </c>
      <c r="Q17" s="501" t="s">
        <v>215</v>
      </c>
      <c r="R17" s="499">
        <f>'[2]Development Summary'!D234</f>
        <v>3884</v>
      </c>
      <c r="S17" s="269" t="s">
        <v>329</v>
      </c>
      <c r="T17" s="122">
        <f>T16</f>
        <v>50</v>
      </c>
      <c r="U17" s="500">
        <f t="shared" si="0"/>
        <v>194200</v>
      </c>
    </row>
    <row r="18" spans="2:21" x14ac:dyDescent="0.2">
      <c r="B18" s="517" t="s">
        <v>182</v>
      </c>
      <c r="C18" s="518" t="s">
        <v>595</v>
      </c>
      <c r="D18" s="522"/>
      <c r="E18" s="519"/>
      <c r="F18" s="519"/>
      <c r="G18" s="519"/>
      <c r="H18" s="519"/>
      <c r="I18" s="522"/>
      <c r="J18" s="522"/>
      <c r="K18" s="519">
        <f>$R$25/4</f>
        <v>3989.625</v>
      </c>
      <c r="L18" s="519">
        <f t="shared" ref="L18:N18" si="12">$R$25/4</f>
        <v>3989.625</v>
      </c>
      <c r="M18" s="519">
        <f t="shared" si="12"/>
        <v>3989.625</v>
      </c>
      <c r="N18" s="520">
        <f t="shared" si="12"/>
        <v>3989.625</v>
      </c>
      <c r="P18" s="269" t="s">
        <v>244</v>
      </c>
      <c r="Q18" s="502" t="s">
        <v>216</v>
      </c>
      <c r="R18" s="499">
        <v>0</v>
      </c>
      <c r="S18" s="269" t="s">
        <v>329</v>
      </c>
      <c r="T18" s="122">
        <f>T17</f>
        <v>50</v>
      </c>
      <c r="U18" s="500">
        <f t="shared" si="0"/>
        <v>0</v>
      </c>
    </row>
    <row r="19" spans="2:21" x14ac:dyDescent="0.2">
      <c r="B19" s="517" t="s">
        <v>185</v>
      </c>
      <c r="C19" s="518" t="s">
        <v>594</v>
      </c>
      <c r="D19" s="522"/>
      <c r="E19" s="519">
        <v>2</v>
      </c>
      <c r="F19" s="519"/>
      <c r="G19" s="519"/>
      <c r="H19" s="519">
        <v>2</v>
      </c>
      <c r="I19" s="522"/>
      <c r="J19" s="522"/>
      <c r="K19" s="519">
        <v>2</v>
      </c>
      <c r="L19" s="519"/>
      <c r="M19" s="519"/>
      <c r="N19" s="520"/>
      <c r="P19" s="269" t="s">
        <v>179</v>
      </c>
      <c r="Q19" s="498" t="s">
        <v>3</v>
      </c>
      <c r="R19" s="499">
        <f>50*2</f>
        <v>100</v>
      </c>
      <c r="S19" s="269" t="s">
        <v>329</v>
      </c>
      <c r="T19" s="122">
        <f>[2]Assumptions!D16</f>
        <v>25</v>
      </c>
      <c r="U19" s="500">
        <f t="shared" si="0"/>
        <v>2500</v>
      </c>
    </row>
    <row r="20" spans="2:21" x14ac:dyDescent="0.2">
      <c r="B20" s="523" t="s">
        <v>184</v>
      </c>
      <c r="C20" s="524"/>
      <c r="D20" s="524"/>
      <c r="E20" s="525"/>
      <c r="F20" s="525"/>
      <c r="G20" s="525"/>
      <c r="H20" s="525">
        <f>$R$34/2</f>
        <v>7000</v>
      </c>
      <c r="I20" s="525">
        <f>$R$34/2</f>
        <v>7000</v>
      </c>
      <c r="J20" s="524"/>
      <c r="K20" s="524"/>
      <c r="L20" s="524"/>
      <c r="M20" s="524"/>
      <c r="N20" s="526"/>
      <c r="P20" s="269" t="s">
        <v>179</v>
      </c>
      <c r="Q20" s="501" t="s">
        <v>215</v>
      </c>
      <c r="R20" s="499">
        <f>50*2</f>
        <v>100</v>
      </c>
      <c r="S20" s="269" t="s">
        <v>329</v>
      </c>
      <c r="T20" s="122">
        <f>T19</f>
        <v>25</v>
      </c>
      <c r="U20" s="500">
        <f t="shared" si="0"/>
        <v>2500</v>
      </c>
    </row>
    <row r="21" spans="2:21" x14ac:dyDescent="0.2">
      <c r="E21" s="193"/>
      <c r="F21" s="193"/>
      <c r="G21" s="193"/>
      <c r="H21" s="193"/>
      <c r="P21" s="269" t="s">
        <v>179</v>
      </c>
      <c r="Q21" s="502" t="s">
        <v>216</v>
      </c>
      <c r="R21" s="499">
        <f>50*3</f>
        <v>150</v>
      </c>
      <c r="S21" s="269" t="s">
        <v>329</v>
      </c>
      <c r="T21" s="122">
        <f>T20</f>
        <v>25</v>
      </c>
      <c r="U21" s="500">
        <f t="shared" si="0"/>
        <v>3750</v>
      </c>
    </row>
    <row r="22" spans="2:21" ht="13.15" customHeight="1" x14ac:dyDescent="0.2">
      <c r="P22" s="269" t="s">
        <v>181</v>
      </c>
      <c r="Q22" s="498" t="s">
        <v>3</v>
      </c>
      <c r="R22" s="499">
        <f>1*('[2]Development Summary'!D595+'[2]Development Summary'!D506+'[2]Development Summary'!D400)</f>
        <v>36844.259999999995</v>
      </c>
      <c r="S22" s="269" t="s">
        <v>329</v>
      </c>
      <c r="T22" s="122">
        <f>[2]Assumptions!D17</f>
        <v>7</v>
      </c>
      <c r="U22" s="500">
        <f t="shared" si="0"/>
        <v>257909.81999999995</v>
      </c>
    </row>
    <row r="23" spans="2:21" x14ac:dyDescent="0.2">
      <c r="P23" s="269" t="s">
        <v>181</v>
      </c>
      <c r="Q23" s="501" t="s">
        <v>215</v>
      </c>
      <c r="R23" s="499">
        <f>1*('[2]Development Summary'!D308+'[2]Development Summary'!D233)</f>
        <v>65486.400000000009</v>
      </c>
      <c r="S23" s="269" t="s">
        <v>329</v>
      </c>
      <c r="T23" s="122">
        <f>T22</f>
        <v>7</v>
      </c>
      <c r="U23" s="500">
        <f t="shared" si="0"/>
        <v>458404.80000000005</v>
      </c>
    </row>
    <row r="24" spans="2:21" x14ac:dyDescent="0.2">
      <c r="P24" s="269" t="s">
        <v>181</v>
      </c>
      <c r="Q24" s="502" t="s">
        <v>216</v>
      </c>
      <c r="R24" s="499">
        <f>1*(('[2]Development Summary'!D159*50%)+'[2]Development Summary'!D93)</f>
        <v>19853.89</v>
      </c>
      <c r="S24" s="269" t="s">
        <v>329</v>
      </c>
      <c r="T24" s="122">
        <f>T23</f>
        <v>7</v>
      </c>
      <c r="U24" s="500">
        <f t="shared" si="0"/>
        <v>138977.22999999998</v>
      </c>
    </row>
    <row r="25" spans="2:21" x14ac:dyDescent="0.2">
      <c r="P25" s="269" t="s">
        <v>182</v>
      </c>
      <c r="Q25" s="502" t="s">
        <v>216</v>
      </c>
      <c r="R25" s="499">
        <f>'[2]Development Summary'!D160</f>
        <v>15958.5</v>
      </c>
      <c r="S25" s="269" t="s">
        <v>329</v>
      </c>
      <c r="T25" s="122">
        <v>20</v>
      </c>
      <c r="U25" s="500">
        <f t="shared" si="0"/>
        <v>319170</v>
      </c>
    </row>
    <row r="26" spans="2:21" x14ac:dyDescent="0.2">
      <c r="P26" s="269" t="s">
        <v>585</v>
      </c>
      <c r="Q26" s="503" t="s">
        <v>3</v>
      </c>
      <c r="R26" s="504">
        <f>SUM(R27:R28)</f>
        <v>85969.94</v>
      </c>
      <c r="S26" s="269" t="s">
        <v>329</v>
      </c>
      <c r="T26" s="505">
        <f>AVERAGE(T27:T28)</f>
        <v>60</v>
      </c>
      <c r="U26" s="506">
        <f>SUM(U27:U28)</f>
        <v>5158196.3999999994</v>
      </c>
    </row>
    <row r="27" spans="2:21" x14ac:dyDescent="0.2">
      <c r="P27" s="507" t="s">
        <v>586</v>
      </c>
      <c r="R27" s="499">
        <f>'[2]Development Summary'!D593*(1-'[2]Development Summary'!D594)</f>
        <v>25543.699999999997</v>
      </c>
      <c r="S27" s="269" t="s">
        <v>329</v>
      </c>
      <c r="T27" s="122">
        <v>60</v>
      </c>
      <c r="U27" s="500">
        <f>T27*R27</f>
        <v>1532621.9999999998</v>
      </c>
    </row>
    <row r="28" spans="2:21" x14ac:dyDescent="0.2">
      <c r="P28" s="507" t="s">
        <v>587</v>
      </c>
      <c r="R28" s="499">
        <f>('[2]Development Summary'!D504*(1-'[2]Development Summary'!D505)+'[2]Development Summary'!D398*(1-'[2]Development Summary'!D399))</f>
        <v>60426.239999999998</v>
      </c>
      <c r="S28" s="269" t="s">
        <v>329</v>
      </c>
      <c r="T28" s="122">
        <v>60</v>
      </c>
      <c r="U28" s="500">
        <f>T28*R28</f>
        <v>3625574.3999999999</v>
      </c>
    </row>
    <row r="29" spans="2:21" x14ac:dyDescent="0.2">
      <c r="P29" s="269" t="s">
        <v>585</v>
      </c>
      <c r="Q29" s="501" t="s">
        <v>215</v>
      </c>
      <c r="R29" s="504">
        <f>'[2]Development Summary'!D305*(1-'[2]Development Summary'!D307)+'[2]Development Summary'!D306+(1-'[2]Development Summary'!D232)*'[2]Development Summary'!D230+'[2]Development Summary'!D231</f>
        <v>179823.14</v>
      </c>
      <c r="S29" s="269" t="s">
        <v>329</v>
      </c>
      <c r="T29" s="505">
        <f>AVERAGE(T30:T32)</f>
        <v>60</v>
      </c>
      <c r="U29" s="506">
        <f>SUM(U30:U32)</f>
        <v>9602555.6760000009</v>
      </c>
    </row>
    <row r="30" spans="2:21" ht="13.15" customHeight="1" x14ac:dyDescent="0.2">
      <c r="P30" s="507" t="s">
        <v>588</v>
      </c>
      <c r="R30" s="499">
        <f>R29*17%</f>
        <v>30569.933800000006</v>
      </c>
      <c r="S30" s="269" t="s">
        <v>329</v>
      </c>
      <c r="T30" s="122">
        <v>80</v>
      </c>
      <c r="U30" s="500">
        <f t="shared" ref="U30:U40" si="13">T30*R30</f>
        <v>2445594.7040000004</v>
      </c>
    </row>
    <row r="31" spans="2:21" x14ac:dyDescent="0.2">
      <c r="P31" s="507" t="s">
        <v>589</v>
      </c>
      <c r="R31" s="499">
        <f>R29*50%</f>
        <v>89911.57</v>
      </c>
      <c r="S31" s="269" t="s">
        <v>329</v>
      </c>
      <c r="T31" s="122">
        <v>40</v>
      </c>
      <c r="U31" s="500">
        <f t="shared" si="13"/>
        <v>3596462.8000000003</v>
      </c>
    </row>
    <row r="32" spans="2:21" x14ac:dyDescent="0.2">
      <c r="P32" s="507" t="s">
        <v>590</v>
      </c>
      <c r="R32" s="499">
        <f>R29*33%</f>
        <v>59341.636200000008</v>
      </c>
      <c r="S32" s="269" t="s">
        <v>329</v>
      </c>
      <c r="T32" s="122">
        <v>60</v>
      </c>
      <c r="U32" s="500">
        <f t="shared" si="13"/>
        <v>3560498.1720000003</v>
      </c>
    </row>
    <row r="33" spans="16:21" x14ac:dyDescent="0.2">
      <c r="P33" s="269" t="s">
        <v>591</v>
      </c>
      <c r="Q33" s="502" t="s">
        <v>216</v>
      </c>
      <c r="R33" s="504">
        <f>'[2]Development Summary'!D157*(1-'[2]Development Summary'!D158)+'[2]Development Summary'!D91*(1-'[2]Development Summary'!D92)</f>
        <v>30026.410000000003</v>
      </c>
      <c r="S33" s="508" t="s">
        <v>329</v>
      </c>
      <c r="T33" s="505">
        <v>50</v>
      </c>
      <c r="U33" s="506">
        <f t="shared" si="13"/>
        <v>1501320.5000000002</v>
      </c>
    </row>
    <row r="34" spans="16:21" x14ac:dyDescent="0.2">
      <c r="P34" s="269" t="s">
        <v>184</v>
      </c>
      <c r="Q34" s="501" t="s">
        <v>215</v>
      </c>
      <c r="R34" s="499">
        <v>14000</v>
      </c>
      <c r="S34" s="269" t="s">
        <v>329</v>
      </c>
      <c r="T34" s="122">
        <v>110</v>
      </c>
      <c r="U34" s="500">
        <f t="shared" si="13"/>
        <v>1540000</v>
      </c>
    </row>
    <row r="35" spans="16:21" x14ac:dyDescent="0.2">
      <c r="P35" s="269" t="s">
        <v>169</v>
      </c>
      <c r="Q35" s="498" t="s">
        <v>3</v>
      </c>
      <c r="R35" s="499">
        <f>'[2]Development Summary'!D596+'[2]Development Summary'!D402+'[2]Development Summary'!D310</f>
        <v>104953</v>
      </c>
      <c r="S35" s="269" t="s">
        <v>329</v>
      </c>
      <c r="T35" s="122">
        <v>10</v>
      </c>
      <c r="U35" s="500">
        <f t="shared" si="13"/>
        <v>1049530</v>
      </c>
    </row>
    <row r="36" spans="16:21" x14ac:dyDescent="0.2">
      <c r="P36" s="269" t="s">
        <v>169</v>
      </c>
      <c r="Q36" s="501" t="s">
        <v>215</v>
      </c>
      <c r="R36" s="499">
        <f>'[2]Development Summary'!D235+'[2]Development Summary'!D310</f>
        <v>32357</v>
      </c>
      <c r="S36" s="269" t="s">
        <v>329</v>
      </c>
      <c r="T36" s="122">
        <v>10</v>
      </c>
      <c r="U36" s="500">
        <f t="shared" si="13"/>
        <v>323570</v>
      </c>
    </row>
    <row r="37" spans="16:21" x14ac:dyDescent="0.2">
      <c r="P37" s="269" t="s">
        <v>169</v>
      </c>
      <c r="Q37" s="502" t="s">
        <v>216</v>
      </c>
      <c r="R37" s="499">
        <f>'[2]Development Summary'!D94</f>
        <v>6450</v>
      </c>
      <c r="S37" s="269" t="s">
        <v>329</v>
      </c>
      <c r="T37" s="122">
        <v>10</v>
      </c>
      <c r="U37" s="500">
        <f t="shared" si="13"/>
        <v>64500</v>
      </c>
    </row>
    <row r="38" spans="16:21" ht="13.15" customHeight="1" x14ac:dyDescent="0.2">
      <c r="P38" s="269" t="s">
        <v>185</v>
      </c>
      <c r="Q38" s="498" t="s">
        <v>3</v>
      </c>
      <c r="R38" s="499">
        <v>2</v>
      </c>
      <c r="S38" s="269" t="s">
        <v>342</v>
      </c>
      <c r="T38" s="122">
        <v>1000</v>
      </c>
      <c r="U38" s="500">
        <f t="shared" si="13"/>
        <v>2000</v>
      </c>
    </row>
    <row r="39" spans="16:21" x14ac:dyDescent="0.2">
      <c r="P39" s="269" t="s">
        <v>185</v>
      </c>
      <c r="Q39" s="501" t="s">
        <v>215</v>
      </c>
      <c r="R39" s="499">
        <v>2</v>
      </c>
      <c r="S39" s="269" t="s">
        <v>342</v>
      </c>
      <c r="T39" s="122">
        <v>1000</v>
      </c>
      <c r="U39" s="500">
        <f t="shared" si="13"/>
        <v>2000</v>
      </c>
    </row>
    <row r="40" spans="16:21" x14ac:dyDescent="0.2">
      <c r="P40" s="269" t="s">
        <v>185</v>
      </c>
      <c r="Q40" s="502" t="s">
        <v>216</v>
      </c>
      <c r="R40" s="499">
        <v>2</v>
      </c>
      <c r="S40" s="269" t="s">
        <v>342</v>
      </c>
      <c r="T40" s="122">
        <v>1000</v>
      </c>
      <c r="U40" s="500">
        <f t="shared" si="13"/>
        <v>2000</v>
      </c>
    </row>
    <row r="42" spans="16:21" x14ac:dyDescent="0.2">
      <c r="P42" s="509"/>
      <c r="Q42" s="509"/>
      <c r="R42" s="509"/>
      <c r="S42" s="509"/>
      <c r="T42" s="509"/>
      <c r="U42" s="509"/>
    </row>
    <row r="43" spans="16:21" x14ac:dyDescent="0.2">
      <c r="P43" s="269" t="s">
        <v>592</v>
      </c>
      <c r="Q43" s="498" t="s">
        <v>3</v>
      </c>
      <c r="U43" s="500">
        <f>U4+U10+U13+U16+U19+U22+U26+U35+U38+U7</f>
        <v>9506296.2199999988</v>
      </c>
    </row>
    <row r="44" spans="16:21" x14ac:dyDescent="0.2">
      <c r="P44" s="269" t="s">
        <v>592</v>
      </c>
      <c r="Q44" s="501" t="s">
        <v>215</v>
      </c>
      <c r="U44" s="500">
        <f>U5+U11+U14+U17+U20+U23+U29+U34+U36+U39+U8</f>
        <v>14316924.276000001</v>
      </c>
    </row>
    <row r="45" spans="16:21" x14ac:dyDescent="0.2">
      <c r="P45" s="269" t="s">
        <v>592</v>
      </c>
      <c r="Q45" s="502" t="s">
        <v>216</v>
      </c>
      <c r="U45" s="500">
        <f>U40+U37+U33+U25+U24+U21+U18+U15+U12+U6+U9</f>
        <v>3618997.7300000004</v>
      </c>
    </row>
    <row r="47" spans="16:21" ht="13.15" customHeight="1" x14ac:dyDescent="0.2">
      <c r="P47" s="269" t="s">
        <v>593</v>
      </c>
      <c r="U47" s="500">
        <f>SUM(U43:U45)</f>
        <v>27442218.226</v>
      </c>
    </row>
    <row r="56" ht="13.15" customHeight="1" x14ac:dyDescent="0.2"/>
    <row r="66" ht="13.15" customHeight="1" x14ac:dyDescent="0.2"/>
    <row r="74" ht="13.15" customHeight="1" x14ac:dyDescent="0.2"/>
    <row r="81" ht="13.15" customHeight="1" x14ac:dyDescent="0.2"/>
    <row r="91" ht="13.15" customHeight="1" x14ac:dyDescent="0.2"/>
    <row r="103" ht="13.15" customHeight="1" x14ac:dyDescent="0.2"/>
    <row r="115" ht="13.15" customHeight="1" x14ac:dyDescent="0.2"/>
    <row r="121" ht="13.15" customHeight="1" x14ac:dyDescent="0.2"/>
    <row r="123" ht="24" customHeight="1" x14ac:dyDescent="0.2"/>
    <row r="124" ht="24" customHeight="1" x14ac:dyDescent="0.2"/>
  </sheetData>
  <pageMargins left="0.7" right="0.7" top="0.75" bottom="0.75" header="0.3" footer="0.3"/>
  <pageSetup paperSize="3" scale="120" fitToHeight="0" orientation="landscape" horizontalDpi="1200" verticalDpi="1200" r:id="rId1"/>
  <headerFooter>
    <oddHeader xml:space="preserve">&amp;LSupplement Sheets : Infrastructure Schedule &amp;CTEAM : 2021 -1920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81FE2-D639-4F65-8BA5-F5763D58AF8B}">
  <dimension ref="B3:N82"/>
  <sheetViews>
    <sheetView view="pageLayout" zoomScaleNormal="70" workbookViewId="0">
      <selection activeCell="I94" sqref="A1:I94"/>
    </sheetView>
  </sheetViews>
  <sheetFormatPr defaultColWidth="8.85546875" defaultRowHeight="12.75" x14ac:dyDescent="0.2"/>
  <cols>
    <col min="1" max="1" width="8.85546875" style="269"/>
    <col min="2" max="2" width="27" style="269" customWidth="1"/>
    <col min="3" max="3" width="12" style="269" customWidth="1"/>
    <col min="4" max="4" width="14.140625" style="269" customWidth="1"/>
    <col min="5" max="5" width="13.5703125" style="269" customWidth="1"/>
    <col min="6" max="6" width="16.7109375" style="269" bestFit="1" customWidth="1"/>
    <col min="7" max="7" width="15.28515625" style="269" bestFit="1" customWidth="1"/>
    <col min="8" max="8" width="16.7109375" style="269" customWidth="1"/>
    <col min="9" max="9" width="12.7109375" style="269" customWidth="1"/>
    <col min="10" max="10" width="21.140625" style="269" customWidth="1"/>
    <col min="11" max="11" width="12.140625" style="269" customWidth="1"/>
    <col min="12" max="12" width="10.7109375" style="269" customWidth="1"/>
    <col min="13" max="13" width="17.42578125" style="269" customWidth="1"/>
    <col min="14" max="14" width="10.5703125" style="269" customWidth="1"/>
    <col min="15" max="17" width="10.5703125" style="269" bestFit="1" customWidth="1"/>
    <col min="18" max="18" width="9.42578125" style="269" bestFit="1" customWidth="1"/>
    <col min="19" max="20" width="12.28515625" style="269" bestFit="1" customWidth="1"/>
    <col min="21" max="21" width="10.5703125" style="269" bestFit="1" customWidth="1"/>
    <col min="22" max="24" width="9.140625" style="269" bestFit="1" customWidth="1"/>
    <col min="25" max="16384" width="8.85546875" style="269"/>
  </cols>
  <sheetData>
    <row r="3" spans="2:9" ht="13.5" thickBot="1" x14ac:dyDescent="0.25">
      <c r="B3" s="269" t="s">
        <v>623</v>
      </c>
    </row>
    <row r="4" spans="2:9" x14ac:dyDescent="0.2">
      <c r="B4" s="539"/>
      <c r="C4" s="540"/>
      <c r="D4" s="541" t="s">
        <v>115</v>
      </c>
      <c r="E4" s="542" t="s">
        <v>187</v>
      </c>
      <c r="F4" s="543" t="s">
        <v>117</v>
      </c>
    </row>
    <row r="5" spans="2:9" x14ac:dyDescent="0.2">
      <c r="B5" s="544" t="s">
        <v>188</v>
      </c>
      <c r="C5" s="533"/>
      <c r="D5" s="534">
        <v>0</v>
      </c>
      <c r="E5" s="534">
        <f>[2]Summary!D26</f>
        <v>0</v>
      </c>
      <c r="F5" s="545">
        <f>[2]Summary!E26</f>
        <v>0</v>
      </c>
      <c r="G5" s="527"/>
      <c r="H5" s="527"/>
      <c r="I5" s="527"/>
    </row>
    <row r="6" spans="2:9" x14ac:dyDescent="0.2">
      <c r="B6" s="544" t="s">
        <v>190</v>
      </c>
      <c r="C6" s="533"/>
      <c r="D6" s="534">
        <f>SUM('1.Infrastructure Costs'!F10:H10)</f>
        <v>2244288</v>
      </c>
      <c r="E6" s="535">
        <f>SUM('1.Infrastructure Costs'!J10:L10)</f>
        <v>1239424</v>
      </c>
      <c r="F6" s="546">
        <f>SUM('1.Infrastructure Costs'!L10:O10)</f>
        <v>1239424</v>
      </c>
      <c r="G6" s="356"/>
      <c r="H6" s="356"/>
    </row>
    <row r="7" spans="2:9" x14ac:dyDescent="0.2">
      <c r="B7" s="544" t="s">
        <v>191</v>
      </c>
      <c r="C7" s="533"/>
      <c r="D7" s="534">
        <f>-1*(SUM('Summary Board'!E15:G22))</f>
        <v>161817794.9867416</v>
      </c>
      <c r="E7" s="535">
        <f>-1*(SUM('Summary Board'!H15:J22))</f>
        <v>65906715.913771026</v>
      </c>
      <c r="F7" s="547">
        <f>SUM('Summary Board'!K15:N22)*-1</f>
        <v>113765118.59611227</v>
      </c>
      <c r="G7" s="356"/>
      <c r="H7" s="356"/>
    </row>
    <row r="8" spans="2:9" x14ac:dyDescent="0.2">
      <c r="B8" s="544" t="s">
        <v>193</v>
      </c>
      <c r="C8" s="533"/>
      <c r="D8" s="534">
        <f>1%*D14</f>
        <v>1350229.785436837</v>
      </c>
      <c r="E8" s="532"/>
      <c r="F8" s="548"/>
    </row>
    <row r="9" spans="2:9" x14ac:dyDescent="0.2">
      <c r="B9" s="549" t="s">
        <v>19</v>
      </c>
      <c r="C9" s="533"/>
      <c r="D9" s="534">
        <f>SUM(D5:F7)</f>
        <v>346212765.49662489</v>
      </c>
      <c r="E9" s="532"/>
      <c r="F9" s="548"/>
    </row>
    <row r="10" spans="2:9" x14ac:dyDescent="0.2">
      <c r="B10" s="550"/>
      <c r="C10" s="533"/>
      <c r="D10" s="534"/>
      <c r="E10" s="532"/>
      <c r="F10" s="548"/>
    </row>
    <row r="11" spans="2:9" x14ac:dyDescent="0.2">
      <c r="B11" s="551" t="s">
        <v>199</v>
      </c>
      <c r="C11" s="533"/>
      <c r="D11" s="534"/>
      <c r="E11" s="532" t="s">
        <v>200</v>
      </c>
      <c r="F11" s="548" t="s">
        <v>201</v>
      </c>
    </row>
    <row r="12" spans="2:9" x14ac:dyDescent="0.2">
      <c r="B12" s="544" t="s">
        <v>202</v>
      </c>
      <c r="C12" s="533"/>
      <c r="D12" s="534">
        <f>SUM(D13:D14)</f>
        <v>301205105.98206365</v>
      </c>
      <c r="E12" s="536">
        <f>E13+E14</f>
        <v>1</v>
      </c>
      <c r="F12" s="548"/>
    </row>
    <row r="13" spans="2:9" x14ac:dyDescent="0.2">
      <c r="B13" s="552" t="s">
        <v>204</v>
      </c>
      <c r="C13" s="537">
        <v>1</v>
      </c>
      <c r="D13" s="534">
        <f>D9*C13*E13</f>
        <v>166182127.43837994</v>
      </c>
      <c r="E13" s="536">
        <v>0.48</v>
      </c>
      <c r="F13" s="553">
        <f>D13/$D$23</f>
        <v>0.43735763097949892</v>
      </c>
    </row>
    <row r="14" spans="2:9" x14ac:dyDescent="0.2">
      <c r="B14" s="552" t="s">
        <v>206</v>
      </c>
      <c r="C14" s="537">
        <v>0.75</v>
      </c>
      <c r="D14" s="534">
        <f>D9*C14*E14</f>
        <v>135022978.54368371</v>
      </c>
      <c r="E14" s="536">
        <f>1-E13</f>
        <v>0.52</v>
      </c>
      <c r="F14" s="553">
        <f t="shared" ref="F14:F23" si="0">D14/$D$23</f>
        <v>0.35535307517084286</v>
      </c>
      <c r="G14" s="528"/>
      <c r="H14" s="528"/>
    </row>
    <row r="15" spans="2:9" x14ac:dyDescent="0.2">
      <c r="B15" s="544" t="s">
        <v>207</v>
      </c>
      <c r="C15" s="537"/>
      <c r="D15" s="534">
        <f>D9-(D12)-D22-D20-D21-D19+ (D14*C16)</f>
        <v>53764864.099277161</v>
      </c>
      <c r="E15" s="536">
        <f>E16+E17</f>
        <v>1</v>
      </c>
      <c r="F15" s="553">
        <f t="shared" si="0"/>
        <v>0.14149821015568415</v>
      </c>
      <c r="G15" s="528"/>
      <c r="H15" s="528"/>
    </row>
    <row r="16" spans="2:9" x14ac:dyDescent="0.2">
      <c r="B16" s="552" t="s">
        <v>209</v>
      </c>
      <c r="C16" s="538">
        <f>1-C14</f>
        <v>0.25</v>
      </c>
      <c r="D16" s="534">
        <f>D15*E16</f>
        <v>45700134.484385587</v>
      </c>
      <c r="E16" s="536">
        <v>0.85</v>
      </c>
      <c r="F16" s="553">
        <f t="shared" si="0"/>
        <v>0.12027347863233152</v>
      </c>
      <c r="G16" s="528"/>
      <c r="H16" s="528"/>
    </row>
    <row r="17" spans="2:8" x14ac:dyDescent="0.2">
      <c r="B17" s="552" t="s">
        <v>211</v>
      </c>
      <c r="C17" s="532"/>
      <c r="D17" s="535">
        <f>D15*E17</f>
        <v>8064729.6148915756</v>
      </c>
      <c r="E17" s="536">
        <f>1-E16</f>
        <v>0.15000000000000002</v>
      </c>
      <c r="F17" s="553">
        <f t="shared" si="0"/>
        <v>2.1224731523352625E-2</v>
      </c>
      <c r="G17" s="528"/>
      <c r="H17" s="528"/>
    </row>
    <row r="18" spans="2:8" x14ac:dyDescent="0.2">
      <c r="B18" s="554"/>
      <c r="C18" s="532"/>
      <c r="D18" s="535"/>
      <c r="E18" s="536"/>
      <c r="F18" s="553">
        <f t="shared" si="0"/>
        <v>0</v>
      </c>
      <c r="G18" s="528"/>
      <c r="H18" s="528"/>
    </row>
    <row r="19" spans="2:8" x14ac:dyDescent="0.2">
      <c r="B19" s="544" t="s">
        <v>212</v>
      </c>
      <c r="C19" s="533"/>
      <c r="D19" s="534">
        <f>[2]Massing!I11</f>
        <v>5317828</v>
      </c>
      <c r="E19" s="532"/>
      <c r="F19" s="553">
        <f t="shared" si="0"/>
        <v>1.3995443985989689E-2</v>
      </c>
    </row>
    <row r="20" spans="2:8" x14ac:dyDescent="0.2">
      <c r="B20" s="544" t="s">
        <v>612</v>
      </c>
      <c r="C20" s="533"/>
      <c r="D20" s="534">
        <f>SUM('Summary Board'!E21,'Summary Board'!E25,'Summary Board'!E27)*-1</f>
        <v>12019878.776666665</v>
      </c>
      <c r="E20" s="532"/>
      <c r="F20" s="553">
        <f t="shared" si="0"/>
        <v>3.1633881377363948E-2</v>
      </c>
    </row>
    <row r="21" spans="2:8" x14ac:dyDescent="0.2">
      <c r="B21" s="544" t="s">
        <v>617</v>
      </c>
      <c r="C21" s="533"/>
      <c r="D21" s="534">
        <f>ROUNDUP(123303*50,1)</f>
        <v>6165150</v>
      </c>
      <c r="E21" s="532"/>
      <c r="F21" s="553">
        <f t="shared" si="0"/>
        <v>1.6225423516936677E-2</v>
      </c>
    </row>
    <row r="22" spans="2:8" x14ac:dyDescent="0.2">
      <c r="B22" s="544" t="s">
        <v>217</v>
      </c>
      <c r="C22" s="533"/>
      <c r="D22" s="534">
        <f>C82*-1</f>
        <v>1495683.2745383345</v>
      </c>
      <c r="E22" s="532"/>
      <c r="F22" s="553">
        <f t="shared" si="0"/>
        <v>3.936334813683876E-3</v>
      </c>
      <c r="G22" s="528"/>
      <c r="H22" s="528"/>
    </row>
    <row r="23" spans="2:8" ht="13.5" thickBot="1" x14ac:dyDescent="0.25">
      <c r="B23" s="555" t="s">
        <v>219</v>
      </c>
      <c r="C23" s="556"/>
      <c r="D23" s="557">
        <f>D22+D19+D15+D12+D20+D21</f>
        <v>379968510.13254577</v>
      </c>
      <c r="E23" s="558"/>
      <c r="F23" s="624">
        <f t="shared" si="0"/>
        <v>1</v>
      </c>
      <c r="G23" s="528"/>
      <c r="H23" s="528"/>
    </row>
    <row r="24" spans="2:8" x14ac:dyDescent="0.2">
      <c r="G24" s="529"/>
      <c r="H24" s="529"/>
    </row>
    <row r="26" spans="2:8" x14ac:dyDescent="0.2">
      <c r="B26" s="80"/>
      <c r="C26" s="80"/>
      <c r="D26" s="527"/>
    </row>
    <row r="27" spans="2:8" ht="13.5" thickBot="1" x14ac:dyDescent="0.25">
      <c r="B27" s="80"/>
      <c r="C27" s="80"/>
      <c r="D27" s="527"/>
    </row>
    <row r="28" spans="2:8" x14ac:dyDescent="0.2">
      <c r="B28" s="539" t="s">
        <v>257</v>
      </c>
      <c r="C28" s="540"/>
      <c r="D28" s="541" t="s">
        <v>115</v>
      </c>
      <c r="E28" s="542" t="s">
        <v>187</v>
      </c>
      <c r="F28" s="581" t="s">
        <v>117</v>
      </c>
      <c r="G28" s="540"/>
      <c r="H28" s="569"/>
    </row>
    <row r="29" spans="2:8" x14ac:dyDescent="0.2">
      <c r="B29" s="554" t="s">
        <v>599</v>
      </c>
      <c r="C29" s="532"/>
      <c r="D29" s="577">
        <v>3</v>
      </c>
      <c r="E29" s="578">
        <v>3</v>
      </c>
      <c r="F29" s="579">
        <v>4</v>
      </c>
      <c r="G29" s="567" t="s">
        <v>227</v>
      </c>
      <c r="H29" s="582" t="s">
        <v>228</v>
      </c>
    </row>
    <row r="30" spans="2:8" x14ac:dyDescent="0.2">
      <c r="B30" s="583" t="s">
        <v>230</v>
      </c>
      <c r="C30" s="532"/>
      <c r="D30" s="532"/>
      <c r="E30" s="532"/>
      <c r="F30" s="532"/>
      <c r="G30" s="567" t="s">
        <v>231</v>
      </c>
      <c r="H30" s="582" t="s">
        <v>232</v>
      </c>
    </row>
    <row r="31" spans="2:8" x14ac:dyDescent="0.2">
      <c r="B31" s="584" t="s">
        <v>235</v>
      </c>
      <c r="C31" s="536">
        <f>C13</f>
        <v>1</v>
      </c>
      <c r="D31" s="535">
        <f>SUM('Summary Board'!E15:G23)*-1</f>
        <v>165043678.93348381</v>
      </c>
      <c r="E31" s="535"/>
      <c r="F31" s="535"/>
      <c r="G31" s="535">
        <f>D31/3*C32</f>
        <v>2750727.9822247303</v>
      </c>
      <c r="H31" s="546">
        <f>-PMT(C32/12,C33*12,D31)*12</f>
        <v>21006531.41163896</v>
      </c>
    </row>
    <row r="32" spans="2:8" x14ac:dyDescent="0.2">
      <c r="B32" s="584" t="s">
        <v>238</v>
      </c>
      <c r="C32" s="536">
        <v>0.05</v>
      </c>
      <c r="D32" s="535"/>
      <c r="E32" s="535"/>
      <c r="F32" s="535"/>
      <c r="G32" s="535"/>
      <c r="H32" s="546"/>
    </row>
    <row r="33" spans="2:13" x14ac:dyDescent="0.2">
      <c r="B33" s="584" t="s">
        <v>241</v>
      </c>
      <c r="C33" s="532">
        <v>10</v>
      </c>
      <c r="D33" s="535"/>
      <c r="E33" s="535"/>
      <c r="F33" s="535"/>
      <c r="G33" s="535"/>
      <c r="H33" s="546"/>
    </row>
    <row r="34" spans="2:13" x14ac:dyDescent="0.2">
      <c r="B34" s="554"/>
      <c r="C34" s="532"/>
      <c r="D34" s="535"/>
      <c r="E34" s="535"/>
      <c r="F34" s="535"/>
      <c r="G34" s="535"/>
      <c r="H34" s="546"/>
    </row>
    <row r="35" spans="2:13" x14ac:dyDescent="0.2">
      <c r="B35" s="570" t="s">
        <v>192</v>
      </c>
      <c r="C35" s="536"/>
      <c r="D35" s="535"/>
      <c r="E35" s="535"/>
      <c r="F35" s="535"/>
      <c r="G35" s="535"/>
      <c r="H35" s="546"/>
    </row>
    <row r="36" spans="2:13" x14ac:dyDescent="0.2">
      <c r="B36" s="584" t="s">
        <v>235</v>
      </c>
      <c r="C36" s="536">
        <f>C14</f>
        <v>0.75</v>
      </c>
      <c r="D36" s="535"/>
      <c r="E36" s="535">
        <f>SUM('Summary Board'!H15:J23)*-1</f>
        <v>65985382.602637731</v>
      </c>
      <c r="G36" s="606">
        <f>(E36/3*C37)</f>
        <v>879805.10136850318</v>
      </c>
      <c r="H36" s="607">
        <f>(-PMT(C37/12,C38*12,F37)*12)</f>
        <v>14029523.644751418</v>
      </c>
    </row>
    <row r="37" spans="2:13" x14ac:dyDescent="0.2">
      <c r="B37" s="584" t="s">
        <v>238</v>
      </c>
      <c r="C37" s="536">
        <v>0.04</v>
      </c>
      <c r="D37" s="532"/>
      <c r="E37" s="532"/>
      <c r="F37" s="535">
        <f>SUM('Summary Board'!K15:N23)*-1</f>
        <v>115474875.29643001</v>
      </c>
      <c r="G37" s="606">
        <f>F37/4*C37</f>
        <v>1154748.7529643001</v>
      </c>
      <c r="H37" s="607">
        <f>(-PMT(C37/12,C38*12,G36))</f>
        <v>8907.5989046221675</v>
      </c>
    </row>
    <row r="38" spans="2:13" x14ac:dyDescent="0.2">
      <c r="B38" s="584" t="s">
        <v>241</v>
      </c>
      <c r="C38" s="532">
        <v>10</v>
      </c>
      <c r="D38" s="532"/>
      <c r="E38" s="532"/>
      <c r="F38" s="532"/>
      <c r="G38" s="532"/>
      <c r="H38" s="548"/>
    </row>
    <row r="39" spans="2:13" x14ac:dyDescent="0.2">
      <c r="B39" s="554"/>
      <c r="C39" s="532"/>
      <c r="D39" s="532"/>
      <c r="E39" s="532"/>
      <c r="F39" s="532"/>
      <c r="G39" s="532"/>
      <c r="H39" s="548"/>
    </row>
    <row r="40" spans="2:13" x14ac:dyDescent="0.2">
      <c r="B40" s="570" t="s">
        <v>243</v>
      </c>
      <c r="C40" s="532"/>
      <c r="D40" s="532"/>
      <c r="E40" s="532"/>
      <c r="F40" s="532"/>
      <c r="G40" s="532"/>
      <c r="H40" s="548"/>
    </row>
    <row r="41" spans="2:13" x14ac:dyDescent="0.2">
      <c r="B41" s="554" t="s">
        <v>235</v>
      </c>
      <c r="C41" s="536">
        <v>1</v>
      </c>
      <c r="D41" s="535">
        <f>D16</f>
        <v>45700134.484385587</v>
      </c>
      <c r="E41" s="532"/>
      <c r="F41" s="532"/>
      <c r="G41" s="532"/>
      <c r="H41" s="546">
        <f>-PMT(C43/12,C42*12,D41)*12</f>
        <v>1213052947.3314641</v>
      </c>
    </row>
    <row r="42" spans="2:13" x14ac:dyDescent="0.2">
      <c r="B42" s="554" t="s">
        <v>238</v>
      </c>
      <c r="C42" s="580">
        <v>6.5000000000000002E-2</v>
      </c>
      <c r="D42" s="532"/>
      <c r="E42" s="532"/>
      <c r="F42" s="532"/>
      <c r="G42" s="532"/>
      <c r="H42" s="548"/>
      <c r="K42" s="356"/>
      <c r="L42" s="306"/>
      <c r="M42" s="356"/>
    </row>
    <row r="43" spans="2:13" ht="13.5" thickBot="1" x14ac:dyDescent="0.25">
      <c r="B43" s="575" t="s">
        <v>241</v>
      </c>
      <c r="C43" s="558">
        <v>10</v>
      </c>
      <c r="D43" s="558"/>
      <c r="E43" s="558"/>
      <c r="F43" s="558"/>
      <c r="G43" s="558"/>
      <c r="H43" s="585"/>
    </row>
    <row r="44" spans="2:13" x14ac:dyDescent="0.2">
      <c r="K44" s="291"/>
    </row>
    <row r="45" spans="2:13" ht="13.5" thickBot="1" x14ac:dyDescent="0.25"/>
    <row r="46" spans="2:13" x14ac:dyDescent="0.2">
      <c r="B46" s="568" t="s">
        <v>189</v>
      </c>
      <c r="C46" s="569"/>
    </row>
    <row r="47" spans="2:13" x14ac:dyDescent="0.2">
      <c r="B47" s="554"/>
      <c r="C47" s="548"/>
    </row>
    <row r="48" spans="2:13" x14ac:dyDescent="0.2">
      <c r="B48" s="570" t="s">
        <v>192</v>
      </c>
      <c r="C48" s="548"/>
    </row>
    <row r="49" spans="2:3" x14ac:dyDescent="0.2">
      <c r="B49" s="554" t="s">
        <v>194</v>
      </c>
      <c r="C49" s="548" t="s">
        <v>195</v>
      </c>
    </row>
    <row r="50" spans="2:3" x14ac:dyDescent="0.2">
      <c r="B50" s="554" t="s">
        <v>196</v>
      </c>
      <c r="C50" s="548" t="s">
        <v>197</v>
      </c>
    </row>
    <row r="51" spans="2:3" x14ac:dyDescent="0.2">
      <c r="B51" s="554" t="s">
        <v>198</v>
      </c>
      <c r="C51" s="571">
        <v>0.04</v>
      </c>
    </row>
    <row r="52" spans="2:3" x14ac:dyDescent="0.2">
      <c r="B52" s="554"/>
      <c r="C52" s="548"/>
    </row>
    <row r="53" spans="2:3" x14ac:dyDescent="0.2">
      <c r="B53" s="570"/>
      <c r="C53" s="548"/>
    </row>
    <row r="54" spans="2:3" x14ac:dyDescent="0.2">
      <c r="B54" s="570" t="s">
        <v>203</v>
      </c>
      <c r="C54" s="548"/>
    </row>
    <row r="55" spans="2:3" x14ac:dyDescent="0.2">
      <c r="B55" s="554" t="s">
        <v>205</v>
      </c>
      <c r="C55" s="548"/>
    </row>
    <row r="56" spans="2:3" x14ac:dyDescent="0.2">
      <c r="B56" s="554" t="s">
        <v>194</v>
      </c>
      <c r="C56" s="572">
        <v>0</v>
      </c>
    </row>
    <row r="57" spans="2:3" x14ac:dyDescent="0.2">
      <c r="B57" s="554" t="s">
        <v>196</v>
      </c>
      <c r="C57" s="548" t="s">
        <v>197</v>
      </c>
    </row>
    <row r="58" spans="2:3" x14ac:dyDescent="0.2">
      <c r="B58" s="554" t="s">
        <v>208</v>
      </c>
      <c r="C58" s="572">
        <v>0.06</v>
      </c>
    </row>
    <row r="59" spans="2:3" x14ac:dyDescent="0.2">
      <c r="B59" s="554" t="s">
        <v>210</v>
      </c>
      <c r="C59" s="572">
        <v>0.06</v>
      </c>
    </row>
    <row r="60" spans="2:3" x14ac:dyDescent="0.2">
      <c r="B60" s="554"/>
      <c r="C60" s="548"/>
    </row>
    <row r="61" spans="2:3" x14ac:dyDescent="0.2">
      <c r="B61" s="554"/>
      <c r="C61" s="548"/>
    </row>
    <row r="62" spans="2:3" x14ac:dyDescent="0.2">
      <c r="B62" s="570" t="s">
        <v>213</v>
      </c>
      <c r="C62" s="548"/>
    </row>
    <row r="63" spans="2:3" x14ac:dyDescent="0.2">
      <c r="B63" s="554" t="s">
        <v>218</v>
      </c>
      <c r="C63" s="545">
        <v>30800</v>
      </c>
    </row>
    <row r="64" spans="2:3" x14ac:dyDescent="0.2">
      <c r="B64" s="554" t="s">
        <v>220</v>
      </c>
      <c r="C64" s="545">
        <f>C63*0.33</f>
        <v>10164</v>
      </c>
    </row>
    <row r="65" spans="2:14" x14ac:dyDescent="0.2">
      <c r="B65" s="554" t="s">
        <v>222</v>
      </c>
      <c r="C65" s="545">
        <v>847</v>
      </c>
    </row>
    <row r="66" spans="2:14" x14ac:dyDescent="0.2">
      <c r="B66" s="554" t="s">
        <v>224</v>
      </c>
      <c r="C66" s="573">
        <f>C65/C67</f>
        <v>1.0587500000000001</v>
      </c>
    </row>
    <row r="67" spans="2:14" x14ac:dyDescent="0.2">
      <c r="B67" s="554" t="s">
        <v>69</v>
      </c>
      <c r="C67" s="545">
        <v>800</v>
      </c>
    </row>
    <row r="68" spans="2:14" x14ac:dyDescent="0.2">
      <c r="B68" s="554" t="s">
        <v>233</v>
      </c>
      <c r="C68" s="574">
        <v>0.5</v>
      </c>
    </row>
    <row r="69" spans="2:14" x14ac:dyDescent="0.2">
      <c r="B69" s="554" t="s">
        <v>236</v>
      </c>
      <c r="C69" s="574">
        <v>105</v>
      </c>
    </row>
    <row r="70" spans="2:14" x14ac:dyDescent="0.2">
      <c r="B70" s="554" t="s">
        <v>239</v>
      </c>
      <c r="C70" s="574">
        <v>0.2</v>
      </c>
    </row>
    <row r="71" spans="2:14" ht="13.5" thickBot="1" x14ac:dyDescent="0.25">
      <c r="B71" s="575" t="s">
        <v>242</v>
      </c>
      <c r="C71" s="576">
        <v>0.06</v>
      </c>
    </row>
    <row r="72" spans="2:14" ht="13.5" thickBot="1" x14ac:dyDescent="0.25"/>
    <row r="73" spans="2:14" x14ac:dyDescent="0.2">
      <c r="B73" s="588" t="s">
        <v>214</v>
      </c>
      <c r="C73" s="540"/>
      <c r="D73" s="589" t="s">
        <v>2</v>
      </c>
      <c r="E73" s="541" t="s">
        <v>115</v>
      </c>
      <c r="F73" s="590"/>
      <c r="G73" s="591"/>
      <c r="H73" s="542" t="s">
        <v>116</v>
      </c>
      <c r="I73" s="592"/>
      <c r="J73" s="593"/>
      <c r="K73" s="581" t="s">
        <v>117</v>
      </c>
      <c r="L73" s="594"/>
      <c r="M73" s="595"/>
      <c r="N73" s="596"/>
    </row>
    <row r="74" spans="2:14" x14ac:dyDescent="0.2">
      <c r="B74" s="554"/>
      <c r="C74" s="532"/>
      <c r="D74" s="586" t="s">
        <v>4</v>
      </c>
      <c r="E74" s="587">
        <v>2023</v>
      </c>
      <c r="F74" s="587">
        <f t="shared" ref="F74:N74" si="1">E74+1</f>
        <v>2024</v>
      </c>
      <c r="G74" s="587">
        <f t="shared" si="1"/>
        <v>2025</v>
      </c>
      <c r="H74" s="587">
        <f t="shared" si="1"/>
        <v>2026</v>
      </c>
      <c r="I74" s="587">
        <f t="shared" si="1"/>
        <v>2027</v>
      </c>
      <c r="J74" s="587">
        <f t="shared" si="1"/>
        <v>2028</v>
      </c>
      <c r="K74" s="587">
        <f t="shared" si="1"/>
        <v>2029</v>
      </c>
      <c r="L74" s="587">
        <f t="shared" si="1"/>
        <v>2030</v>
      </c>
      <c r="M74" s="587">
        <f t="shared" si="1"/>
        <v>2031</v>
      </c>
      <c r="N74" s="597">
        <f t="shared" si="1"/>
        <v>2032</v>
      </c>
    </row>
    <row r="75" spans="2:14" x14ac:dyDescent="0.2">
      <c r="B75" s="554" t="s">
        <v>221</v>
      </c>
      <c r="C75" s="532"/>
      <c r="D75" s="532"/>
      <c r="E75" s="535">
        <f>'4.Affordable Rental Housing'!D37</f>
        <v>-672720.19199999992</v>
      </c>
      <c r="F75" s="535">
        <f>'4.Affordable Rental Housing'!E37</f>
        <v>-439151.74133760005</v>
      </c>
      <c r="G75" s="535">
        <f>'4.Affordable Rental Housing'!F37</f>
        <v>-27995.92351027199</v>
      </c>
      <c r="H75" s="535">
        <f>'4.Affordable Rental Housing'!G37</f>
        <v>-3504797.0112557267</v>
      </c>
      <c r="I75" s="535">
        <f>'4.Affordable Rental Housing'!H37</f>
        <v>-3574892.9514808413</v>
      </c>
      <c r="J75" s="535">
        <f>'4.Affordable Rental Housing'!I37</f>
        <v>-911597.70262761414</v>
      </c>
      <c r="K75" s="535">
        <f>'4.Affordable Rental Housing'!J37</f>
        <v>0</v>
      </c>
      <c r="L75" s="535">
        <f>'4.Affordable Rental Housing'!K37</f>
        <v>0</v>
      </c>
      <c r="M75" s="535">
        <f>'4.Affordable Rental Housing'!L37</f>
        <v>0</v>
      </c>
      <c r="N75" s="546">
        <f>'4.Affordable Rental Housing'!M37</f>
        <v>0</v>
      </c>
    </row>
    <row r="76" spans="2:14" x14ac:dyDescent="0.2">
      <c r="B76" s="554" t="s">
        <v>223</v>
      </c>
      <c r="C76" s="532"/>
      <c r="D76" s="532"/>
      <c r="E76" s="535">
        <f>E75</f>
        <v>-672720.19199999992</v>
      </c>
      <c r="F76" s="535">
        <f t="shared" ref="F76:N76" si="2">F75</f>
        <v>-439151.74133760005</v>
      </c>
      <c r="G76" s="535">
        <f t="shared" si="2"/>
        <v>-27995.92351027199</v>
      </c>
      <c r="H76" s="535">
        <f t="shared" si="2"/>
        <v>-3504797.0112557267</v>
      </c>
      <c r="I76" s="535">
        <f t="shared" si="2"/>
        <v>-3574892.9514808413</v>
      </c>
      <c r="J76" s="535">
        <f t="shared" si="2"/>
        <v>-911597.70262761414</v>
      </c>
      <c r="K76" s="535">
        <f t="shared" si="2"/>
        <v>0</v>
      </c>
      <c r="L76" s="535">
        <f t="shared" si="2"/>
        <v>0</v>
      </c>
      <c r="M76" s="535">
        <f t="shared" si="2"/>
        <v>0</v>
      </c>
      <c r="N76" s="546">
        <f t="shared" si="2"/>
        <v>0</v>
      </c>
    </row>
    <row r="77" spans="2:14" x14ac:dyDescent="0.2">
      <c r="B77" s="554" t="s">
        <v>225</v>
      </c>
      <c r="C77" s="532"/>
      <c r="D77" s="536">
        <v>0.2</v>
      </c>
      <c r="E77" s="532"/>
      <c r="F77" s="532"/>
      <c r="G77" s="532"/>
      <c r="H77" s="532"/>
      <c r="I77" s="532"/>
      <c r="J77" s="532"/>
      <c r="K77" s="532"/>
      <c r="L77" s="532"/>
      <c r="M77" s="532"/>
      <c r="N77" s="548"/>
    </row>
    <row r="78" spans="2:14" x14ac:dyDescent="0.2">
      <c r="B78" s="554" t="s">
        <v>229</v>
      </c>
      <c r="C78" s="532"/>
      <c r="D78" s="532"/>
      <c r="E78" s="535">
        <f t="shared" ref="E78:N78" si="3">$D$77*E76</f>
        <v>-134544.03839999999</v>
      </c>
      <c r="F78" s="535">
        <f t="shared" si="3"/>
        <v>-87830.348267520021</v>
      </c>
      <c r="G78" s="535">
        <f t="shared" si="3"/>
        <v>-5599.1847020543983</v>
      </c>
      <c r="H78" s="535">
        <f t="shared" si="3"/>
        <v>-700959.40225114534</v>
      </c>
      <c r="I78" s="535">
        <f t="shared" si="3"/>
        <v>-714978.59029616835</v>
      </c>
      <c r="J78" s="535">
        <f t="shared" si="3"/>
        <v>-182319.54052552284</v>
      </c>
      <c r="K78" s="535">
        <f t="shared" si="3"/>
        <v>0</v>
      </c>
      <c r="L78" s="535">
        <f t="shared" si="3"/>
        <v>0</v>
      </c>
      <c r="M78" s="535">
        <f t="shared" si="3"/>
        <v>0</v>
      </c>
      <c r="N78" s="546">
        <f t="shared" si="3"/>
        <v>0</v>
      </c>
    </row>
    <row r="79" spans="2:14" x14ac:dyDescent="0.2">
      <c r="B79" s="554" t="s">
        <v>234</v>
      </c>
      <c r="C79" s="532"/>
      <c r="D79" s="536">
        <v>0.09</v>
      </c>
      <c r="E79" s="535">
        <f t="shared" ref="E79:N79" si="4">$D$79*E78</f>
        <v>-12108.963455999999</v>
      </c>
      <c r="F79" s="535">
        <f t="shared" si="4"/>
        <v>-7904.7313440768012</v>
      </c>
      <c r="G79" s="535">
        <f t="shared" si="4"/>
        <v>-503.92662318489585</v>
      </c>
      <c r="H79" s="535">
        <f t="shared" si="4"/>
        <v>-63086.346202603076</v>
      </c>
      <c r="I79" s="535">
        <f t="shared" si="4"/>
        <v>-64348.073126655152</v>
      </c>
      <c r="J79" s="535">
        <f t="shared" si="4"/>
        <v>-16408.758647297054</v>
      </c>
      <c r="K79" s="535">
        <f t="shared" si="4"/>
        <v>0</v>
      </c>
      <c r="L79" s="535">
        <f t="shared" si="4"/>
        <v>0</v>
      </c>
      <c r="M79" s="535">
        <f t="shared" si="4"/>
        <v>0</v>
      </c>
      <c r="N79" s="546">
        <f t="shared" si="4"/>
        <v>0</v>
      </c>
    </row>
    <row r="80" spans="2:14" x14ac:dyDescent="0.2">
      <c r="B80" s="554" t="s">
        <v>237</v>
      </c>
      <c r="C80" s="532"/>
      <c r="D80" s="532">
        <v>10</v>
      </c>
      <c r="E80" s="535">
        <f t="shared" ref="E80:N80" si="5">$D$80*E79</f>
        <v>-121089.63455999999</v>
      </c>
      <c r="F80" s="535">
        <f t="shared" si="5"/>
        <v>-79047.313440768019</v>
      </c>
      <c r="G80" s="535">
        <f t="shared" si="5"/>
        <v>-5039.2662318489583</v>
      </c>
      <c r="H80" s="535">
        <f t="shared" si="5"/>
        <v>-630863.46202603076</v>
      </c>
      <c r="I80" s="535">
        <f t="shared" si="5"/>
        <v>-643480.73126655153</v>
      </c>
      <c r="J80" s="535">
        <f t="shared" si="5"/>
        <v>-164087.58647297055</v>
      </c>
      <c r="K80" s="535">
        <f t="shared" si="5"/>
        <v>0</v>
      </c>
      <c r="L80" s="535">
        <f t="shared" si="5"/>
        <v>0</v>
      </c>
      <c r="M80" s="535">
        <f t="shared" si="5"/>
        <v>0</v>
      </c>
      <c r="N80" s="546">
        <f t="shared" si="5"/>
        <v>0</v>
      </c>
    </row>
    <row r="81" spans="2:14" x14ac:dyDescent="0.2">
      <c r="B81" s="554" t="s">
        <v>240</v>
      </c>
      <c r="C81" s="532"/>
      <c r="D81" s="532">
        <v>0.91</v>
      </c>
      <c r="E81" s="535">
        <f t="shared" ref="E81:N81" si="6">$D$81*E80</f>
        <v>-110191.5674496</v>
      </c>
      <c r="F81" s="535">
        <f t="shared" si="6"/>
        <v>-71933.055231098901</v>
      </c>
      <c r="G81" s="535">
        <f t="shared" si="6"/>
        <v>-4585.7322709825521</v>
      </c>
      <c r="H81" s="535">
        <f t="shared" si="6"/>
        <v>-574085.75044368801</v>
      </c>
      <c r="I81" s="535">
        <f t="shared" si="6"/>
        <v>-585567.46545256197</v>
      </c>
      <c r="J81" s="535">
        <f t="shared" si="6"/>
        <v>-149319.7036904032</v>
      </c>
      <c r="K81" s="535">
        <f t="shared" si="6"/>
        <v>0</v>
      </c>
      <c r="L81" s="535">
        <f t="shared" si="6"/>
        <v>0</v>
      </c>
      <c r="M81" s="535">
        <f t="shared" si="6"/>
        <v>0</v>
      </c>
      <c r="N81" s="546">
        <f t="shared" si="6"/>
        <v>0</v>
      </c>
    </row>
    <row r="82" spans="2:14" ht="13.5" thickBot="1" x14ac:dyDescent="0.25">
      <c r="B82" s="575" t="s">
        <v>40</v>
      </c>
      <c r="C82" s="598">
        <f>SUM(E81:N81)</f>
        <v>-1495683.2745383345</v>
      </c>
      <c r="D82" s="558"/>
      <c r="E82" s="558"/>
      <c r="F82" s="558"/>
      <c r="G82" s="558"/>
      <c r="H82" s="558"/>
      <c r="I82" s="558"/>
      <c r="J82" s="558"/>
      <c r="K82" s="558"/>
      <c r="L82" s="558"/>
      <c r="M82" s="558"/>
      <c r="N82" s="585"/>
    </row>
  </sheetData>
  <pageMargins left="0.7" right="0.48749999999999999" top="0.75" bottom="0.75" header="0.3" footer="0.3"/>
  <pageSetup paperSize="3" scale="120" fitToHeight="0" orientation="landscape" horizontalDpi="1200" verticalDpi="1200" r:id="rId1"/>
  <headerFooter>
    <oddHeader>&amp;LSupplement Sheet : Budget 
&amp;CTEAM : 2021 -1920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0FE5-6397-46D9-A16B-16BD86BBC5CA}">
  <dimension ref="B2:P598"/>
  <sheetViews>
    <sheetView view="pageLayout" zoomScale="115" zoomScaleNormal="100" zoomScalePageLayoutView="115" workbookViewId="0">
      <selection activeCell="L102" sqref="L102"/>
    </sheetView>
  </sheetViews>
  <sheetFormatPr defaultColWidth="8.85546875" defaultRowHeight="12.75" x14ac:dyDescent="0.2"/>
  <cols>
    <col min="1" max="1" width="2.7109375" style="269" customWidth="1"/>
    <col min="2" max="2" width="28.7109375" style="269" bestFit="1" customWidth="1"/>
    <col min="3" max="3" width="9.7109375" style="269" customWidth="1"/>
    <col min="4" max="4" width="10.7109375" style="269" customWidth="1"/>
    <col min="5" max="5" width="11.7109375" style="269" customWidth="1"/>
    <col min="6" max="6" width="11.28515625" style="269" customWidth="1"/>
    <col min="7" max="10" width="9.7109375" style="269" customWidth="1"/>
    <col min="11" max="13" width="8.85546875" style="269"/>
    <col min="14" max="14" width="13.28515625" style="269" customWidth="1"/>
    <col min="15" max="18" width="11.7109375" style="269" customWidth="1"/>
    <col min="19" max="16384" width="8.85546875" style="269"/>
  </cols>
  <sheetData>
    <row r="2" spans="2:11" x14ac:dyDescent="0.2">
      <c r="B2" s="119" t="s">
        <v>256</v>
      </c>
      <c r="C2" s="119"/>
      <c r="D2" s="120"/>
      <c r="E2" s="511"/>
      <c r="F2" s="511"/>
      <c r="G2" s="511"/>
      <c r="H2" s="511"/>
      <c r="I2" s="511"/>
      <c r="J2" s="372" t="s">
        <v>119</v>
      </c>
      <c r="K2" s="512"/>
    </row>
    <row r="3" spans="2:11" x14ac:dyDescent="0.2">
      <c r="B3" s="630" t="s">
        <v>120</v>
      </c>
      <c r="C3" s="631"/>
      <c r="D3" s="631"/>
      <c r="E3" s="631"/>
      <c r="F3" s="631"/>
      <c r="G3" s="631"/>
      <c r="H3" s="631"/>
      <c r="I3" s="631"/>
      <c r="J3" s="631"/>
      <c r="K3" s="632"/>
    </row>
    <row r="4" spans="2:11" ht="38.25" x14ac:dyDescent="0.2">
      <c r="B4" s="633" t="s">
        <v>121</v>
      </c>
      <c r="C4" s="634" t="s">
        <v>122</v>
      </c>
      <c r="D4" s="634" t="s">
        <v>123</v>
      </c>
      <c r="E4" s="634" t="s">
        <v>124</v>
      </c>
      <c r="F4" s="634" t="s">
        <v>125</v>
      </c>
      <c r="G4" s="634" t="s">
        <v>126</v>
      </c>
      <c r="H4" s="634" t="s">
        <v>127</v>
      </c>
      <c r="I4" s="634" t="s">
        <v>128</v>
      </c>
      <c r="J4" s="634" t="s">
        <v>129</v>
      </c>
      <c r="K4" s="635" t="s">
        <v>130</v>
      </c>
    </row>
    <row r="5" spans="2:11" x14ac:dyDescent="0.2">
      <c r="B5" s="744" t="str">
        <f>Massing!A4</f>
        <v>1,3,4,5</v>
      </c>
      <c r="C5" s="745" t="s">
        <v>132</v>
      </c>
      <c r="D5" s="746">
        <f>Massing!C4</f>
        <v>54625</v>
      </c>
      <c r="E5" s="746">
        <f>Massing!D4</f>
        <v>32416.799999999999</v>
      </c>
      <c r="F5" s="747">
        <f>E5/D5</f>
        <v>0.59344256292906172</v>
      </c>
      <c r="G5" s="748">
        <v>0.05</v>
      </c>
      <c r="H5" s="749">
        <f>G5*D5</f>
        <v>2731.25</v>
      </c>
      <c r="I5" s="750">
        <f>D5-E5-H5</f>
        <v>19476.95</v>
      </c>
      <c r="J5" s="747">
        <f>I5/D5</f>
        <v>0.35655743707093823</v>
      </c>
      <c r="K5" s="751">
        <v>2</v>
      </c>
    </row>
    <row r="6" spans="2:11" x14ac:dyDescent="0.2">
      <c r="B6" s="636">
        <f>Massing!A5</f>
        <v>2</v>
      </c>
      <c r="C6" s="752" t="s">
        <v>133</v>
      </c>
      <c r="D6" s="753">
        <f>Massing!C5</f>
        <v>100303</v>
      </c>
      <c r="E6" s="753">
        <f>Massing!D5</f>
        <v>48926</v>
      </c>
      <c r="F6" s="637">
        <f t="shared" ref="F6:F11" si="0">E6/D6</f>
        <v>0.48778202047795183</v>
      </c>
      <c r="G6" s="754">
        <v>0.05</v>
      </c>
      <c r="H6" s="9">
        <f t="shared" ref="H6:H11" si="1">G6*D6</f>
        <v>5015.1500000000005</v>
      </c>
      <c r="I6" s="755">
        <f t="shared" ref="I6:I11" si="2">D6-E6-H6</f>
        <v>46361.85</v>
      </c>
      <c r="J6" s="637">
        <f t="shared" ref="J6:J11" si="3">I6/D6</f>
        <v>0.46221797952204818</v>
      </c>
      <c r="K6" s="638">
        <v>2</v>
      </c>
    </row>
    <row r="7" spans="2:11" x14ac:dyDescent="0.2">
      <c r="B7" s="636" t="str">
        <f>Massing!A6</f>
        <v>7,8</v>
      </c>
      <c r="C7" s="752" t="s">
        <v>135</v>
      </c>
      <c r="D7" s="753">
        <f>Massing!C6</f>
        <v>103854</v>
      </c>
      <c r="E7" s="753">
        <f>Massing!D6</f>
        <v>27957</v>
      </c>
      <c r="F7" s="637">
        <f t="shared" si="0"/>
        <v>0.26919521636143046</v>
      </c>
      <c r="G7" s="754">
        <v>0.05</v>
      </c>
      <c r="H7" s="9">
        <f t="shared" si="1"/>
        <v>5192.7000000000007</v>
      </c>
      <c r="I7" s="755">
        <f t="shared" si="2"/>
        <v>70704.3</v>
      </c>
      <c r="J7" s="637">
        <f t="shared" si="3"/>
        <v>0.68080478363856956</v>
      </c>
      <c r="K7" s="638" t="s">
        <v>143</v>
      </c>
    </row>
    <row r="8" spans="2:11" x14ac:dyDescent="0.2">
      <c r="B8" s="636" t="str">
        <f>Massing!A7</f>
        <v>12,13,14,15,20</v>
      </c>
      <c r="C8" s="752" t="s">
        <v>137</v>
      </c>
      <c r="D8" s="753">
        <f>Massing!C7</f>
        <v>90622</v>
      </c>
      <c r="E8" s="753">
        <f>Massing!D7</f>
        <v>28579</v>
      </c>
      <c r="F8" s="637">
        <f t="shared" si="0"/>
        <v>0.31536492242501823</v>
      </c>
      <c r="G8" s="754">
        <v>0.05</v>
      </c>
      <c r="H8" s="9">
        <f t="shared" si="1"/>
        <v>4531.1000000000004</v>
      </c>
      <c r="I8" s="755">
        <f t="shared" si="2"/>
        <v>57511.9</v>
      </c>
      <c r="J8" s="637">
        <f t="shared" si="3"/>
        <v>0.63463507757498183</v>
      </c>
      <c r="K8" s="638" t="s">
        <v>143</v>
      </c>
    </row>
    <row r="9" spans="2:11" x14ac:dyDescent="0.2">
      <c r="B9" s="636">
        <f>Massing!A8</f>
        <v>25</v>
      </c>
      <c r="C9" s="752" t="s">
        <v>138</v>
      </c>
      <c r="D9" s="753">
        <f>Massing!C8</f>
        <v>86994</v>
      </c>
      <c r="E9" s="753">
        <f>Massing!D8</f>
        <v>31114</v>
      </c>
      <c r="F9" s="637">
        <f t="shared" si="0"/>
        <v>0.35765684989769408</v>
      </c>
      <c r="G9" s="754">
        <v>0.05</v>
      </c>
      <c r="H9" s="9">
        <f t="shared" si="1"/>
        <v>4349.7</v>
      </c>
      <c r="I9" s="755">
        <f t="shared" si="2"/>
        <v>51530.3</v>
      </c>
      <c r="J9" s="637">
        <f t="shared" si="3"/>
        <v>0.59234315010230598</v>
      </c>
      <c r="K9" s="638" t="s">
        <v>144</v>
      </c>
    </row>
    <row r="10" spans="2:11" x14ac:dyDescent="0.2">
      <c r="B10" s="636" t="str">
        <f>Massing!A9</f>
        <v>21,22,23,24</v>
      </c>
      <c r="C10" s="752" t="s">
        <v>140</v>
      </c>
      <c r="D10" s="753">
        <f>Massing!C9</f>
        <v>95362</v>
      </c>
      <c r="E10" s="753">
        <f>Massing!D9</f>
        <v>55801</v>
      </c>
      <c r="F10" s="637">
        <f t="shared" si="0"/>
        <v>0.58514922086365639</v>
      </c>
      <c r="G10" s="754">
        <v>0.05</v>
      </c>
      <c r="H10" s="9">
        <f t="shared" si="1"/>
        <v>4768.1000000000004</v>
      </c>
      <c r="I10" s="755">
        <f t="shared" si="2"/>
        <v>34792.9</v>
      </c>
      <c r="J10" s="637">
        <f t="shared" si="3"/>
        <v>0.36485077913634362</v>
      </c>
      <c r="K10" s="638" t="s">
        <v>144</v>
      </c>
    </row>
    <row r="11" spans="2:11" x14ac:dyDescent="0.2">
      <c r="B11" s="639" t="str">
        <f>Massing!A10</f>
        <v>9,10,11,17,18,19</v>
      </c>
      <c r="C11" s="640" t="s">
        <v>142</v>
      </c>
      <c r="D11" s="641">
        <f>Massing!C10</f>
        <v>98180</v>
      </c>
      <c r="E11" s="641">
        <f>Massing!D10</f>
        <v>56780</v>
      </c>
      <c r="F11" s="642">
        <f t="shared" si="0"/>
        <v>0.5783255245467509</v>
      </c>
      <c r="G11" s="643">
        <v>0.05</v>
      </c>
      <c r="H11" s="4">
        <f t="shared" si="1"/>
        <v>4909</v>
      </c>
      <c r="I11" s="644">
        <f t="shared" si="2"/>
        <v>36491</v>
      </c>
      <c r="J11" s="642">
        <f t="shared" si="3"/>
        <v>0.37167447545324911</v>
      </c>
      <c r="K11" s="756" t="s">
        <v>144</v>
      </c>
    </row>
    <row r="13" spans="2:11" ht="13.5" thickBot="1" x14ac:dyDescent="0.25"/>
    <row r="14" spans="2:11" x14ac:dyDescent="0.2">
      <c r="B14" s="627" t="s">
        <v>625</v>
      </c>
      <c r="C14" s="645"/>
      <c r="D14" s="628"/>
      <c r="E14" s="645"/>
      <c r="F14" s="645"/>
      <c r="G14" s="646"/>
      <c r="I14" s="647" t="s">
        <v>78</v>
      </c>
      <c r="J14" s="647"/>
      <c r="K14" s="647"/>
    </row>
    <row r="15" spans="2:11" x14ac:dyDescent="0.2">
      <c r="B15" s="550" t="s">
        <v>328</v>
      </c>
      <c r="C15" s="269" t="s">
        <v>329</v>
      </c>
      <c r="D15" s="271">
        <f>D5</f>
        <v>54625</v>
      </c>
      <c r="G15" s="562"/>
      <c r="I15" s="269" t="s">
        <v>596</v>
      </c>
    </row>
    <row r="16" spans="2:11" x14ac:dyDescent="0.2">
      <c r="B16" s="550" t="s">
        <v>159</v>
      </c>
      <c r="C16" s="269" t="s">
        <v>329</v>
      </c>
      <c r="D16" s="271">
        <v>171362</v>
      </c>
      <c r="E16" s="269" t="s">
        <v>330</v>
      </c>
      <c r="G16" s="562"/>
      <c r="I16" s="648">
        <f>40%</f>
        <v>0.4</v>
      </c>
    </row>
    <row r="17" spans="2:9" x14ac:dyDescent="0.2">
      <c r="B17" s="550" t="s">
        <v>160</v>
      </c>
      <c r="C17" s="269" t="s">
        <v>329</v>
      </c>
      <c r="D17" s="271">
        <v>5000</v>
      </c>
      <c r="E17" s="269" t="s">
        <v>330</v>
      </c>
      <c r="G17" s="562"/>
      <c r="I17" s="269" t="s">
        <v>597</v>
      </c>
    </row>
    <row r="18" spans="2:9" x14ac:dyDescent="0.2">
      <c r="B18" s="550" t="s">
        <v>161</v>
      </c>
      <c r="C18" s="269" t="s">
        <v>329</v>
      </c>
      <c r="D18" s="271">
        <v>50000</v>
      </c>
      <c r="E18" s="269" t="s">
        <v>330</v>
      </c>
      <c r="G18" s="562"/>
    </row>
    <row r="19" spans="2:9" x14ac:dyDescent="0.2">
      <c r="B19" s="550" t="s">
        <v>162</v>
      </c>
      <c r="C19" s="269" t="s">
        <v>329</v>
      </c>
      <c r="D19" s="271">
        <v>54897.8</v>
      </c>
      <c r="E19" s="269" t="s">
        <v>331</v>
      </c>
      <c r="G19" s="562"/>
    </row>
    <row r="20" spans="2:9" x14ac:dyDescent="0.2">
      <c r="B20" s="550" t="s">
        <v>161</v>
      </c>
      <c r="C20" s="269" t="s">
        <v>329</v>
      </c>
      <c r="D20" s="271">
        <v>47036</v>
      </c>
      <c r="E20" s="269" t="s">
        <v>331</v>
      </c>
      <c r="G20" s="562"/>
    </row>
    <row r="21" spans="2:9" x14ac:dyDescent="0.2">
      <c r="B21" s="550"/>
      <c r="G21" s="562"/>
    </row>
    <row r="22" spans="2:9" x14ac:dyDescent="0.2">
      <c r="B22" s="649" t="s">
        <v>332</v>
      </c>
      <c r="C22" s="272"/>
      <c r="D22" s="272"/>
      <c r="E22" s="272"/>
      <c r="F22" s="272"/>
      <c r="G22" s="650"/>
    </row>
    <row r="23" spans="2:9" x14ac:dyDescent="0.2">
      <c r="B23" s="550"/>
      <c r="C23" s="269" t="s">
        <v>333</v>
      </c>
      <c r="D23" s="273" t="s">
        <v>334</v>
      </c>
      <c r="E23" s="273" t="s">
        <v>335</v>
      </c>
      <c r="F23" s="273" t="s">
        <v>336</v>
      </c>
      <c r="G23" s="562"/>
    </row>
    <row r="24" spans="2:9" x14ac:dyDescent="0.2">
      <c r="B24" s="566" t="s">
        <v>337</v>
      </c>
      <c r="E24" s="273"/>
      <c r="F24" s="273"/>
      <c r="G24" s="562"/>
    </row>
    <row r="25" spans="2:9" x14ac:dyDescent="0.2">
      <c r="B25" s="550" t="s">
        <v>338</v>
      </c>
      <c r="C25" s="269" t="s">
        <v>339</v>
      </c>
      <c r="D25" s="275">
        <v>0.35</v>
      </c>
      <c r="E25" s="275">
        <v>0.45</v>
      </c>
      <c r="F25" s="251">
        <f>(1-E25-D25)</f>
        <v>0.20000000000000007</v>
      </c>
      <c r="G25" s="562"/>
    </row>
    <row r="26" spans="2:9" x14ac:dyDescent="0.2">
      <c r="B26" s="550" t="s">
        <v>340</v>
      </c>
      <c r="C26" s="269" t="s">
        <v>329</v>
      </c>
      <c r="D26" s="276">
        <f>D25*$D$16</f>
        <v>59976.7</v>
      </c>
      <c r="E26" s="276">
        <f>E25*$D$16</f>
        <v>77112.900000000009</v>
      </c>
      <c r="F26" s="276">
        <f>F25*$D$16</f>
        <v>34272.400000000009</v>
      </c>
      <c r="G26" s="562"/>
    </row>
    <row r="27" spans="2:9" x14ac:dyDescent="0.2">
      <c r="B27" s="550" t="s">
        <v>341</v>
      </c>
      <c r="C27" s="269" t="s">
        <v>342</v>
      </c>
      <c r="D27" s="277">
        <f t="shared" ref="D27:E27" si="4">ROUNDUP(D26/D28,0)</f>
        <v>100</v>
      </c>
      <c r="E27" s="277">
        <f t="shared" si="4"/>
        <v>103</v>
      </c>
      <c r="F27" s="277">
        <f>ROUNDUP(F26/F28,0)</f>
        <v>33</v>
      </c>
      <c r="G27" s="562"/>
    </row>
    <row r="28" spans="2:9" x14ac:dyDescent="0.2">
      <c r="B28" s="550" t="s">
        <v>343</v>
      </c>
      <c r="C28" s="269" t="s">
        <v>329</v>
      </c>
      <c r="D28" s="278">
        <v>600</v>
      </c>
      <c r="E28" s="278">
        <v>750</v>
      </c>
      <c r="F28" s="278">
        <v>1050</v>
      </c>
      <c r="G28" s="562"/>
    </row>
    <row r="29" spans="2:9" x14ac:dyDescent="0.2">
      <c r="B29" s="550" t="s">
        <v>344</v>
      </c>
      <c r="C29" s="269" t="s">
        <v>339</v>
      </c>
      <c r="D29" s="275">
        <v>0.8</v>
      </c>
      <c r="E29" s="275">
        <v>0.8</v>
      </c>
      <c r="F29" s="275">
        <v>0.8</v>
      </c>
      <c r="G29" s="562"/>
    </row>
    <row r="30" spans="2:9" x14ac:dyDescent="0.2">
      <c r="B30" s="550" t="s">
        <v>345</v>
      </c>
      <c r="C30" s="269" t="s">
        <v>329</v>
      </c>
      <c r="D30" s="277">
        <f>D28*D29</f>
        <v>480</v>
      </c>
      <c r="E30" s="277">
        <f>E28*E29</f>
        <v>600</v>
      </c>
      <c r="F30" s="277">
        <f>F28*F29</f>
        <v>840</v>
      </c>
      <c r="G30" s="562"/>
    </row>
    <row r="31" spans="2:9" x14ac:dyDescent="0.2">
      <c r="B31" s="550" t="s">
        <v>346</v>
      </c>
      <c r="C31" s="269" t="s">
        <v>347</v>
      </c>
      <c r="D31" s="278">
        <v>10</v>
      </c>
      <c r="E31" s="278">
        <v>10</v>
      </c>
      <c r="F31" s="278">
        <v>10</v>
      </c>
      <c r="G31" s="562"/>
    </row>
    <row r="32" spans="2:9" x14ac:dyDescent="0.2">
      <c r="B32" s="566" t="s">
        <v>348</v>
      </c>
      <c r="D32" s="279"/>
      <c r="E32" s="279"/>
      <c r="F32" s="279"/>
      <c r="G32" s="562"/>
    </row>
    <row r="33" spans="2:7" x14ac:dyDescent="0.2">
      <c r="B33" s="550" t="s">
        <v>349</v>
      </c>
      <c r="C33" s="269" t="s">
        <v>350</v>
      </c>
      <c r="D33" s="280">
        <v>200</v>
      </c>
      <c r="E33" s="280">
        <v>225</v>
      </c>
      <c r="F33" s="280">
        <v>250</v>
      </c>
      <c r="G33" s="562"/>
    </row>
    <row r="34" spans="2:7" x14ac:dyDescent="0.2">
      <c r="B34" s="550" t="s">
        <v>351</v>
      </c>
      <c r="C34" s="269" t="s">
        <v>352</v>
      </c>
      <c r="D34" s="281">
        <f>D28*D33</f>
        <v>120000</v>
      </c>
      <c r="E34" s="281">
        <f>E28*E33</f>
        <v>168750</v>
      </c>
      <c r="F34" s="281">
        <f>F28*F33</f>
        <v>262500</v>
      </c>
      <c r="G34" s="562"/>
    </row>
    <row r="35" spans="2:7" x14ac:dyDescent="0.2">
      <c r="B35" s="550" t="s">
        <v>353</v>
      </c>
      <c r="C35" s="269" t="s">
        <v>339</v>
      </c>
      <c r="D35" s="275">
        <v>0.04</v>
      </c>
      <c r="E35" s="275">
        <v>0.05</v>
      </c>
      <c r="F35" s="275">
        <v>0.08</v>
      </c>
      <c r="G35" s="562"/>
    </row>
    <row r="36" spans="2:7" x14ac:dyDescent="0.2">
      <c r="B36" s="566" t="s">
        <v>157</v>
      </c>
      <c r="D36" s="279"/>
      <c r="E36" s="279"/>
      <c r="F36" s="279"/>
      <c r="G36" s="562"/>
    </row>
    <row r="37" spans="2:7" x14ac:dyDescent="0.2">
      <c r="B37" s="550" t="s">
        <v>272</v>
      </c>
      <c r="C37" s="269" t="s">
        <v>350</v>
      </c>
      <c r="D37" s="280">
        <v>130</v>
      </c>
      <c r="E37" s="280">
        <v>130</v>
      </c>
      <c r="F37" s="280">
        <v>130</v>
      </c>
      <c r="G37" s="562"/>
    </row>
    <row r="38" spans="2:7" x14ac:dyDescent="0.2">
      <c r="B38" s="566" t="s">
        <v>354</v>
      </c>
      <c r="D38" s="279"/>
      <c r="E38" s="279"/>
      <c r="F38" s="279"/>
      <c r="G38" s="562"/>
    </row>
    <row r="39" spans="2:7" x14ac:dyDescent="0.2">
      <c r="B39" s="550" t="s">
        <v>355</v>
      </c>
      <c r="C39" s="269" t="s">
        <v>339</v>
      </c>
      <c r="D39" s="275">
        <v>5.8000000000000003E-2</v>
      </c>
      <c r="E39" s="275">
        <v>5.8000000000000003E-2</v>
      </c>
      <c r="F39" s="275">
        <v>5.8000000000000003E-2</v>
      </c>
      <c r="G39" s="562"/>
    </row>
    <row r="40" spans="2:7" x14ac:dyDescent="0.2">
      <c r="B40" s="550"/>
      <c r="G40" s="562"/>
    </row>
    <row r="41" spans="2:7" x14ac:dyDescent="0.2">
      <c r="B41" s="651" t="s">
        <v>356</v>
      </c>
      <c r="C41" s="282"/>
      <c r="D41" s="282"/>
      <c r="E41" s="282"/>
      <c r="F41" s="282"/>
      <c r="G41" s="652"/>
    </row>
    <row r="42" spans="2:7" x14ac:dyDescent="0.2">
      <c r="B42" s="550"/>
      <c r="C42" s="269" t="s">
        <v>333</v>
      </c>
      <c r="D42" s="274" t="s">
        <v>357</v>
      </c>
      <c r="E42" s="274" t="s">
        <v>358</v>
      </c>
      <c r="G42" s="562"/>
    </row>
    <row r="43" spans="2:7" x14ac:dyDescent="0.2">
      <c r="B43" s="566" t="s">
        <v>337</v>
      </c>
      <c r="E43" s="283"/>
      <c r="F43" s="283"/>
      <c r="G43" s="653"/>
    </row>
    <row r="44" spans="2:7" x14ac:dyDescent="0.2">
      <c r="B44" s="550" t="s">
        <v>338</v>
      </c>
      <c r="C44" s="269" t="s">
        <v>339</v>
      </c>
      <c r="D44" s="284">
        <v>0.3</v>
      </c>
      <c r="E44" s="188">
        <f>(1-D44)</f>
        <v>0.7</v>
      </c>
      <c r="G44" s="562"/>
    </row>
    <row r="45" spans="2:7" x14ac:dyDescent="0.2">
      <c r="B45" s="550" t="s">
        <v>340</v>
      </c>
      <c r="C45" s="269" t="s">
        <v>329</v>
      </c>
      <c r="D45" s="285">
        <f>D44*$D$17</f>
        <v>1500</v>
      </c>
      <c r="E45" s="285">
        <f>E44*$D$17</f>
        <v>3500</v>
      </c>
      <c r="F45" s="286"/>
      <c r="G45" s="654"/>
    </row>
    <row r="46" spans="2:7" x14ac:dyDescent="0.2">
      <c r="B46" s="550" t="s">
        <v>359</v>
      </c>
      <c r="C46" s="269" t="s">
        <v>342</v>
      </c>
      <c r="D46" s="287">
        <v>1</v>
      </c>
      <c r="E46" s="288">
        <v>1</v>
      </c>
      <c r="F46" s="286"/>
      <c r="G46" s="654"/>
    </row>
    <row r="47" spans="2:7" x14ac:dyDescent="0.2">
      <c r="B47" s="550" t="s">
        <v>270</v>
      </c>
      <c r="C47" s="269" t="s">
        <v>339</v>
      </c>
      <c r="D47" s="284">
        <v>0.95</v>
      </c>
      <c r="E47" s="284">
        <v>0.9</v>
      </c>
      <c r="G47" s="562"/>
    </row>
    <row r="48" spans="2:7" x14ac:dyDescent="0.2">
      <c r="B48" s="550" t="s">
        <v>70</v>
      </c>
      <c r="C48" s="269" t="s">
        <v>329</v>
      </c>
      <c r="D48" s="285">
        <f>D45*D47</f>
        <v>1425</v>
      </c>
      <c r="E48" s="285">
        <f>E45*E47</f>
        <v>3150</v>
      </c>
      <c r="G48" s="562"/>
    </row>
    <row r="49" spans="2:7" x14ac:dyDescent="0.2">
      <c r="B49" s="566" t="s">
        <v>360</v>
      </c>
      <c r="D49" s="286"/>
      <c r="G49" s="562"/>
    </row>
    <row r="50" spans="2:7" x14ac:dyDescent="0.2">
      <c r="B50" s="550" t="s">
        <v>278</v>
      </c>
      <c r="C50" s="269" t="s">
        <v>361</v>
      </c>
      <c r="D50" s="289">
        <v>4</v>
      </c>
      <c r="E50" s="289">
        <v>4</v>
      </c>
      <c r="G50" s="562"/>
    </row>
    <row r="51" spans="2:7" x14ac:dyDescent="0.2">
      <c r="B51" s="550" t="s">
        <v>301</v>
      </c>
      <c r="C51" s="269" t="s">
        <v>350</v>
      </c>
      <c r="D51" s="289">
        <v>22</v>
      </c>
      <c r="E51" s="289">
        <v>28</v>
      </c>
      <c r="G51" s="562"/>
    </row>
    <row r="52" spans="2:7" x14ac:dyDescent="0.2">
      <c r="B52" s="566" t="s">
        <v>157</v>
      </c>
      <c r="G52" s="562"/>
    </row>
    <row r="53" spans="2:7" x14ac:dyDescent="0.2">
      <c r="B53" s="550" t="s">
        <v>272</v>
      </c>
      <c r="C53" s="269" t="s">
        <v>350</v>
      </c>
      <c r="D53" s="289">
        <v>120</v>
      </c>
      <c r="E53" s="289">
        <v>120</v>
      </c>
      <c r="F53" s="290"/>
      <c r="G53" s="655"/>
    </row>
    <row r="54" spans="2:7" x14ac:dyDescent="0.2">
      <c r="B54" s="566" t="s">
        <v>354</v>
      </c>
      <c r="G54" s="562"/>
    </row>
    <row r="55" spans="2:7" x14ac:dyDescent="0.2">
      <c r="B55" s="550" t="s">
        <v>355</v>
      </c>
      <c r="C55" s="269" t="s">
        <v>339</v>
      </c>
      <c r="D55" s="284">
        <v>6.3E-2</v>
      </c>
      <c r="E55" s="284">
        <v>0.06</v>
      </c>
      <c r="F55" s="291"/>
      <c r="G55" s="656"/>
    </row>
    <row r="56" spans="2:7" x14ac:dyDescent="0.2">
      <c r="B56" s="550" t="s">
        <v>72</v>
      </c>
      <c r="C56" s="269" t="s">
        <v>339</v>
      </c>
      <c r="D56" s="284">
        <v>0.75</v>
      </c>
      <c r="E56" s="284">
        <v>0.75</v>
      </c>
      <c r="F56" s="291"/>
      <c r="G56" s="656"/>
    </row>
    <row r="57" spans="2:7" x14ac:dyDescent="0.2">
      <c r="B57" s="550" t="s">
        <v>279</v>
      </c>
      <c r="C57" s="269" t="s">
        <v>339</v>
      </c>
      <c r="D57" s="284">
        <v>4.4999999999999998E-2</v>
      </c>
      <c r="E57" s="284">
        <v>4.4999999999999998E-2</v>
      </c>
      <c r="F57" s="291"/>
      <c r="G57" s="656"/>
    </row>
    <row r="58" spans="2:7" x14ac:dyDescent="0.2">
      <c r="B58" s="550"/>
      <c r="G58" s="562"/>
    </row>
    <row r="59" spans="2:7" x14ac:dyDescent="0.2">
      <c r="B59" s="657" t="s">
        <v>362</v>
      </c>
      <c r="C59" s="292"/>
      <c r="D59" s="292"/>
      <c r="E59" s="292"/>
      <c r="F59" s="292"/>
      <c r="G59" s="658"/>
    </row>
    <row r="60" spans="2:7" x14ac:dyDescent="0.2">
      <c r="B60" s="566" t="s">
        <v>337</v>
      </c>
      <c r="G60" s="562"/>
    </row>
    <row r="61" spans="2:7" x14ac:dyDescent="0.2">
      <c r="B61" s="550" t="s">
        <v>270</v>
      </c>
      <c r="C61" s="269" t="s">
        <v>339</v>
      </c>
      <c r="D61" s="293">
        <v>0.95</v>
      </c>
      <c r="G61" s="562"/>
    </row>
    <row r="62" spans="2:7" x14ac:dyDescent="0.2">
      <c r="B62" s="550" t="s">
        <v>363</v>
      </c>
      <c r="C62" s="269" t="s">
        <v>329</v>
      </c>
      <c r="D62" s="285">
        <f>D61*$D$19</f>
        <v>52152.91</v>
      </c>
      <c r="G62" s="562"/>
    </row>
    <row r="63" spans="2:7" x14ac:dyDescent="0.2">
      <c r="B63" s="566" t="s">
        <v>360</v>
      </c>
      <c r="G63" s="562"/>
    </row>
    <row r="64" spans="2:7" x14ac:dyDescent="0.2">
      <c r="B64" s="550" t="s">
        <v>278</v>
      </c>
      <c r="C64" s="269" t="s">
        <v>361</v>
      </c>
      <c r="D64" s="289">
        <v>6</v>
      </c>
      <c r="E64" s="290"/>
      <c r="G64" s="562"/>
    </row>
    <row r="65" spans="2:7" x14ac:dyDescent="0.2">
      <c r="B65" s="550" t="s">
        <v>301</v>
      </c>
      <c r="C65" s="269" t="s">
        <v>350</v>
      </c>
      <c r="D65" s="289">
        <v>35</v>
      </c>
      <c r="E65" s="290"/>
      <c r="G65" s="562"/>
    </row>
    <row r="66" spans="2:7" x14ac:dyDescent="0.2">
      <c r="B66" s="566" t="s">
        <v>157</v>
      </c>
      <c r="G66" s="562"/>
    </row>
    <row r="67" spans="2:7" x14ac:dyDescent="0.2">
      <c r="B67" s="550" t="s">
        <v>272</v>
      </c>
      <c r="C67" s="269" t="s">
        <v>350</v>
      </c>
      <c r="D67" s="289">
        <v>160</v>
      </c>
      <c r="E67" s="290"/>
      <c r="G67" s="562"/>
    </row>
    <row r="68" spans="2:7" x14ac:dyDescent="0.2">
      <c r="B68" s="566" t="s">
        <v>354</v>
      </c>
      <c r="G68" s="562"/>
    </row>
    <row r="69" spans="2:7" x14ac:dyDescent="0.2">
      <c r="B69" s="550" t="s">
        <v>355</v>
      </c>
      <c r="C69" s="269" t="s">
        <v>339</v>
      </c>
      <c r="D69" s="284">
        <v>0.1</v>
      </c>
      <c r="E69" s="291"/>
      <c r="G69" s="562"/>
    </row>
    <row r="70" spans="2:7" x14ac:dyDescent="0.2">
      <c r="B70" s="550" t="s">
        <v>279</v>
      </c>
      <c r="C70" s="269" t="s">
        <v>339</v>
      </c>
      <c r="D70" s="284">
        <v>0.2</v>
      </c>
      <c r="G70" s="562"/>
    </row>
    <row r="71" spans="2:7" x14ac:dyDescent="0.2">
      <c r="B71" s="550"/>
      <c r="G71" s="562"/>
    </row>
    <row r="72" spans="2:7" x14ac:dyDescent="0.2">
      <c r="B72" s="659" t="s">
        <v>364</v>
      </c>
      <c r="C72" s="294"/>
      <c r="D72" s="294"/>
      <c r="E72" s="294"/>
      <c r="F72" s="294"/>
      <c r="G72" s="660"/>
    </row>
    <row r="73" spans="2:7" x14ac:dyDescent="0.2">
      <c r="B73" s="550"/>
      <c r="C73" s="269" t="s">
        <v>333</v>
      </c>
      <c r="D73" s="269" t="s">
        <v>365</v>
      </c>
      <c r="E73" s="269" t="s">
        <v>61</v>
      </c>
      <c r="F73" s="269" t="s">
        <v>323</v>
      </c>
      <c r="G73" s="562"/>
    </row>
    <row r="74" spans="2:7" x14ac:dyDescent="0.2">
      <c r="B74" s="566" t="s">
        <v>337</v>
      </c>
      <c r="G74" s="562"/>
    </row>
    <row r="75" spans="2:7" x14ac:dyDescent="0.2">
      <c r="B75" s="550" t="s">
        <v>366</v>
      </c>
      <c r="C75" s="295" t="s">
        <v>329</v>
      </c>
      <c r="D75" s="285">
        <f>D76*D77</f>
        <v>47200</v>
      </c>
      <c r="E75" s="285">
        <f>D18-D75</f>
        <v>2800</v>
      </c>
      <c r="F75" s="285">
        <f>[2]Massing!E30</f>
        <v>47036</v>
      </c>
      <c r="G75" s="562"/>
    </row>
    <row r="76" spans="2:7" x14ac:dyDescent="0.2">
      <c r="B76" s="550" t="s">
        <v>367</v>
      </c>
      <c r="C76" s="269" t="s">
        <v>329</v>
      </c>
      <c r="D76" s="287">
        <v>200</v>
      </c>
      <c r="E76" s="287">
        <v>200</v>
      </c>
      <c r="F76" s="287">
        <v>200</v>
      </c>
      <c r="G76" s="562"/>
    </row>
    <row r="77" spans="2:7" x14ac:dyDescent="0.2">
      <c r="B77" s="550" t="s">
        <v>368</v>
      </c>
      <c r="C77" s="269" t="s">
        <v>342</v>
      </c>
      <c r="D77" s="285">
        <f>1*SUM(D27:F27)</f>
        <v>236</v>
      </c>
      <c r="E77" s="285">
        <f>E75/E76</f>
        <v>14</v>
      </c>
      <c r="F77" s="285">
        <f>ROUNDUP(F75/F76,0)</f>
        <v>236</v>
      </c>
      <c r="G77" s="562"/>
    </row>
    <row r="78" spans="2:7" x14ac:dyDescent="0.2">
      <c r="B78" s="550" t="s">
        <v>369</v>
      </c>
      <c r="C78" s="269" t="s">
        <v>342</v>
      </c>
      <c r="D78" s="285">
        <f>0.1*(SUM(D77:F77))</f>
        <v>48.6</v>
      </c>
      <c r="E78" s="285"/>
      <c r="F78" s="285"/>
      <c r="G78" s="562"/>
    </row>
    <row r="79" spans="2:7" x14ac:dyDescent="0.2">
      <c r="B79" s="566" t="s">
        <v>360</v>
      </c>
      <c r="G79" s="562"/>
    </row>
    <row r="80" spans="2:7" x14ac:dyDescent="0.2">
      <c r="B80" s="550" t="s">
        <v>370</v>
      </c>
      <c r="C80" s="269" t="s">
        <v>371</v>
      </c>
      <c r="D80" s="289">
        <v>180</v>
      </c>
      <c r="E80" s="289">
        <v>180</v>
      </c>
      <c r="F80" s="289">
        <v>180</v>
      </c>
      <c r="G80" s="562" t="s">
        <v>372</v>
      </c>
    </row>
    <row r="81" spans="2:7" x14ac:dyDescent="0.2">
      <c r="B81" s="550" t="s">
        <v>373</v>
      </c>
      <c r="C81" s="269" t="s">
        <v>374</v>
      </c>
      <c r="D81" s="289">
        <v>2</v>
      </c>
      <c r="E81" s="289">
        <v>2</v>
      </c>
      <c r="F81" s="289">
        <v>2</v>
      </c>
      <c r="G81" s="562"/>
    </row>
    <row r="82" spans="2:7" x14ac:dyDescent="0.2">
      <c r="B82" s="550" t="s">
        <v>302</v>
      </c>
      <c r="C82" s="269" t="s">
        <v>361</v>
      </c>
      <c r="D82" s="289">
        <v>0.5</v>
      </c>
      <c r="E82" s="289">
        <v>0.5</v>
      </c>
      <c r="F82" s="289">
        <v>0.5</v>
      </c>
      <c r="G82" s="562"/>
    </row>
    <row r="83" spans="2:7" x14ac:dyDescent="0.2">
      <c r="B83" s="566" t="s">
        <v>354</v>
      </c>
      <c r="G83" s="562"/>
    </row>
    <row r="84" spans="2:7" x14ac:dyDescent="0.2">
      <c r="B84" s="550" t="s">
        <v>375</v>
      </c>
      <c r="C84" s="269" t="s">
        <v>339</v>
      </c>
      <c r="D84" s="293">
        <v>0.85</v>
      </c>
      <c r="E84" s="293">
        <v>0.75</v>
      </c>
      <c r="F84" s="293">
        <v>0.75</v>
      </c>
      <c r="G84" s="562"/>
    </row>
    <row r="85" spans="2:7" x14ac:dyDescent="0.2">
      <c r="B85" s="566" t="s">
        <v>157</v>
      </c>
      <c r="G85" s="562"/>
    </row>
    <row r="86" spans="2:7" x14ac:dyDescent="0.2">
      <c r="B86" s="550" t="s">
        <v>272</v>
      </c>
      <c r="C86" s="269" t="s">
        <v>350</v>
      </c>
      <c r="D86" s="289">
        <v>100</v>
      </c>
      <c r="E86" s="289">
        <v>100</v>
      </c>
      <c r="F86" s="289">
        <v>100</v>
      </c>
      <c r="G86" s="562"/>
    </row>
    <row r="87" spans="2:7" x14ac:dyDescent="0.2">
      <c r="B87" s="550"/>
      <c r="G87" s="562"/>
    </row>
    <row r="88" spans="2:7" x14ac:dyDescent="0.2">
      <c r="B88" s="661" t="s">
        <v>376</v>
      </c>
      <c r="C88" s="296"/>
      <c r="D88" s="296"/>
      <c r="E88" s="296"/>
      <c r="F88" s="296"/>
      <c r="G88" s="662"/>
    </row>
    <row r="89" spans="2:7" x14ac:dyDescent="0.2">
      <c r="B89" s="566" t="s">
        <v>337</v>
      </c>
      <c r="G89" s="562"/>
    </row>
    <row r="90" spans="2:7" x14ac:dyDescent="0.2">
      <c r="B90" s="550" t="s">
        <v>171</v>
      </c>
      <c r="C90" s="269" t="s">
        <v>342</v>
      </c>
      <c r="D90" s="288">
        <v>50</v>
      </c>
      <c r="G90" s="562"/>
    </row>
    <row r="91" spans="2:7" x14ac:dyDescent="0.2">
      <c r="B91" s="550" t="s">
        <v>377</v>
      </c>
      <c r="C91" s="269" t="s">
        <v>329</v>
      </c>
      <c r="D91" s="271">
        <f>I5</f>
        <v>19476.95</v>
      </c>
      <c r="G91" s="562"/>
    </row>
    <row r="92" spans="2:7" x14ac:dyDescent="0.2">
      <c r="B92" s="550" t="s">
        <v>378</v>
      </c>
      <c r="C92" s="269" t="s">
        <v>379</v>
      </c>
      <c r="D92" s="293">
        <v>0.2</v>
      </c>
      <c r="E92" s="269" t="s">
        <v>380</v>
      </c>
      <c r="G92" s="562"/>
    </row>
    <row r="93" spans="2:7" x14ac:dyDescent="0.2">
      <c r="B93" s="550" t="s">
        <v>381</v>
      </c>
      <c r="C93" s="269" t="s">
        <v>329</v>
      </c>
      <c r="D93" s="271">
        <f>D91*D92</f>
        <v>3895.3900000000003</v>
      </c>
      <c r="G93" s="562"/>
    </row>
    <row r="94" spans="2:7" ht="13.5" thickBot="1" x14ac:dyDescent="0.25">
      <c r="B94" s="563" t="s">
        <v>382</v>
      </c>
      <c r="C94" s="564" t="s">
        <v>329</v>
      </c>
      <c r="D94" s="663">
        <f>[2]Massing!C20</f>
        <v>6450</v>
      </c>
      <c r="E94" s="564"/>
      <c r="F94" s="564"/>
      <c r="G94" s="565"/>
    </row>
    <row r="95" spans="2:7" ht="13.5" thickBot="1" x14ac:dyDescent="0.25"/>
    <row r="96" spans="2:7" x14ac:dyDescent="0.2">
      <c r="B96" s="627" t="s">
        <v>133</v>
      </c>
      <c r="C96" s="645"/>
      <c r="D96" s="628" t="s">
        <v>149</v>
      </c>
      <c r="E96" s="645"/>
      <c r="F96" s="645"/>
      <c r="G96" s="646"/>
    </row>
    <row r="97" spans="2:7" x14ac:dyDescent="0.2">
      <c r="B97" s="550"/>
      <c r="G97" s="562"/>
    </row>
    <row r="98" spans="2:7" x14ac:dyDescent="0.2">
      <c r="B98" s="550" t="s">
        <v>328</v>
      </c>
      <c r="C98" s="269" t="s">
        <v>329</v>
      </c>
      <c r="D98" s="271">
        <f>D6</f>
        <v>100303</v>
      </c>
      <c r="G98" s="562"/>
    </row>
    <row r="99" spans="2:7" x14ac:dyDescent="0.2">
      <c r="B99" s="550" t="s">
        <v>383</v>
      </c>
      <c r="C99" s="269" t="s">
        <v>329</v>
      </c>
      <c r="D99" s="271">
        <v>172229</v>
      </c>
      <c r="G99" s="562"/>
    </row>
    <row r="100" spans="2:7" x14ac:dyDescent="0.2">
      <c r="B100" s="550" t="s">
        <v>384</v>
      </c>
      <c r="C100" s="269" t="s">
        <v>329</v>
      </c>
      <c r="D100" s="271">
        <v>112838</v>
      </c>
      <c r="G100" s="562"/>
    </row>
    <row r="101" spans="2:7" x14ac:dyDescent="0.2">
      <c r="B101" s="550" t="s">
        <v>385</v>
      </c>
      <c r="C101" s="269" t="s">
        <v>329</v>
      </c>
      <c r="D101" s="271">
        <v>123303</v>
      </c>
      <c r="G101" s="562"/>
    </row>
    <row r="102" spans="2:7" x14ac:dyDescent="0.2">
      <c r="B102" s="550"/>
      <c r="D102" s="297"/>
      <c r="G102" s="562"/>
    </row>
    <row r="103" spans="2:7" x14ac:dyDescent="0.2">
      <c r="B103" s="657" t="s">
        <v>362</v>
      </c>
      <c r="C103" s="292"/>
      <c r="D103" s="292"/>
      <c r="E103" s="292"/>
      <c r="F103" s="292"/>
      <c r="G103" s="658"/>
    </row>
    <row r="104" spans="2:7" x14ac:dyDescent="0.2">
      <c r="B104" s="550"/>
      <c r="C104" s="269" t="s">
        <v>333</v>
      </c>
      <c r="G104" s="562"/>
    </row>
    <row r="105" spans="2:7" x14ac:dyDescent="0.2">
      <c r="B105" s="566" t="s">
        <v>337</v>
      </c>
      <c r="G105" s="562"/>
    </row>
    <row r="106" spans="2:7" x14ac:dyDescent="0.2">
      <c r="B106" s="550" t="s">
        <v>270</v>
      </c>
      <c r="C106" s="269" t="s">
        <v>339</v>
      </c>
      <c r="D106" s="293">
        <v>0.95</v>
      </c>
      <c r="G106" s="562"/>
    </row>
    <row r="107" spans="2:7" x14ac:dyDescent="0.2">
      <c r="B107" s="550" t="s">
        <v>363</v>
      </c>
      <c r="C107" s="269" t="s">
        <v>329</v>
      </c>
      <c r="D107" s="285">
        <f>D106*$D$99</f>
        <v>163617.54999999999</v>
      </c>
      <c r="G107" s="562"/>
    </row>
    <row r="108" spans="2:7" x14ac:dyDescent="0.2">
      <c r="B108" s="566" t="s">
        <v>360</v>
      </c>
      <c r="G108" s="562"/>
    </row>
    <row r="109" spans="2:7" x14ac:dyDescent="0.2">
      <c r="B109" s="550" t="s">
        <v>278</v>
      </c>
      <c r="C109" s="269" t="s">
        <v>361</v>
      </c>
      <c r="D109" s="289">
        <v>6</v>
      </c>
      <c r="G109" s="562"/>
    </row>
    <row r="110" spans="2:7" x14ac:dyDescent="0.2">
      <c r="B110" s="550" t="s">
        <v>301</v>
      </c>
      <c r="C110" s="269" t="s">
        <v>350</v>
      </c>
      <c r="D110" s="289">
        <v>35</v>
      </c>
      <c r="G110" s="562"/>
    </row>
    <row r="111" spans="2:7" x14ac:dyDescent="0.2">
      <c r="B111" s="566" t="s">
        <v>157</v>
      </c>
      <c r="G111" s="562"/>
    </row>
    <row r="112" spans="2:7" x14ac:dyDescent="0.2">
      <c r="B112" s="550" t="s">
        <v>272</v>
      </c>
      <c r="C112" s="269" t="s">
        <v>350</v>
      </c>
      <c r="D112" s="289">
        <v>160</v>
      </c>
      <c r="G112" s="562"/>
    </row>
    <row r="113" spans="2:7" x14ac:dyDescent="0.2">
      <c r="B113" s="566" t="s">
        <v>354</v>
      </c>
      <c r="G113" s="562"/>
    </row>
    <row r="114" spans="2:7" x14ac:dyDescent="0.2">
      <c r="B114" s="550" t="s">
        <v>355</v>
      </c>
      <c r="C114" s="269" t="s">
        <v>339</v>
      </c>
      <c r="D114" s="284">
        <v>0.1</v>
      </c>
      <c r="G114" s="562"/>
    </row>
    <row r="115" spans="2:7" x14ac:dyDescent="0.2">
      <c r="B115" s="550" t="s">
        <v>279</v>
      </c>
      <c r="C115" s="269" t="s">
        <v>339</v>
      </c>
      <c r="D115" s="284">
        <v>0.2</v>
      </c>
      <c r="G115" s="562"/>
    </row>
    <row r="116" spans="2:7" x14ac:dyDescent="0.2">
      <c r="B116" s="550"/>
      <c r="G116" s="562"/>
    </row>
    <row r="117" spans="2:7" x14ac:dyDescent="0.2">
      <c r="B117" s="664" t="s">
        <v>386</v>
      </c>
      <c r="C117" s="298"/>
      <c r="D117" s="298"/>
      <c r="E117" s="298"/>
      <c r="F117" s="298"/>
      <c r="G117" s="665"/>
    </row>
    <row r="118" spans="2:7" x14ac:dyDescent="0.2">
      <c r="B118" s="550"/>
      <c r="C118" s="269" t="s">
        <v>333</v>
      </c>
      <c r="D118" s="269" t="s">
        <v>387</v>
      </c>
      <c r="E118" s="269" t="s">
        <v>315</v>
      </c>
      <c r="G118" s="562"/>
    </row>
    <row r="119" spans="2:7" x14ac:dyDescent="0.2">
      <c r="B119" s="566" t="s">
        <v>337</v>
      </c>
      <c r="G119" s="562"/>
    </row>
    <row r="120" spans="2:7" x14ac:dyDescent="0.2">
      <c r="B120" s="550" t="s">
        <v>388</v>
      </c>
      <c r="C120" s="269" t="s">
        <v>339</v>
      </c>
      <c r="D120" s="293">
        <v>0.3</v>
      </c>
      <c r="E120" s="299">
        <f>(1-D120)</f>
        <v>0.7</v>
      </c>
      <c r="G120" s="562"/>
    </row>
    <row r="121" spans="2:7" x14ac:dyDescent="0.2">
      <c r="B121" s="550" t="s">
        <v>389</v>
      </c>
      <c r="C121" s="269" t="s">
        <v>329</v>
      </c>
      <c r="D121" s="271">
        <f>D120*$D$100</f>
        <v>33851.4</v>
      </c>
      <c r="E121" s="271">
        <f>E120*$D$100</f>
        <v>78986.599999999991</v>
      </c>
      <c r="G121" s="562"/>
    </row>
    <row r="122" spans="2:7" x14ac:dyDescent="0.2">
      <c r="B122" s="550" t="s">
        <v>390</v>
      </c>
      <c r="C122" s="269" t="s">
        <v>329</v>
      </c>
      <c r="D122" s="300">
        <v>200</v>
      </c>
      <c r="E122" s="300">
        <v>300</v>
      </c>
      <c r="G122" s="562"/>
    </row>
    <row r="123" spans="2:7" x14ac:dyDescent="0.2">
      <c r="B123" s="550" t="s">
        <v>270</v>
      </c>
      <c r="C123" s="269" t="s">
        <v>339</v>
      </c>
      <c r="D123" s="293">
        <v>0.85</v>
      </c>
      <c r="E123" s="293">
        <v>0.85</v>
      </c>
      <c r="G123" s="562"/>
    </row>
    <row r="124" spans="2:7" x14ac:dyDescent="0.2">
      <c r="B124" s="550" t="s">
        <v>391</v>
      </c>
      <c r="C124" s="269" t="s">
        <v>329</v>
      </c>
      <c r="D124" s="271">
        <f>D121*D123</f>
        <v>28773.69</v>
      </c>
      <c r="E124" s="271">
        <f>E121*E123</f>
        <v>67138.609999999986</v>
      </c>
      <c r="G124" s="562"/>
    </row>
    <row r="125" spans="2:7" x14ac:dyDescent="0.2">
      <c r="B125" s="550" t="s">
        <v>392</v>
      </c>
      <c r="C125" s="269" t="s">
        <v>342</v>
      </c>
      <c r="D125" s="271">
        <f>ROUNDUP(D124/D122,0)</f>
        <v>144</v>
      </c>
      <c r="E125" s="271">
        <f>ROUNDUP(E124/E122,0)</f>
        <v>224</v>
      </c>
      <c r="G125" s="562"/>
    </row>
    <row r="126" spans="2:7" x14ac:dyDescent="0.2">
      <c r="B126" s="566" t="s">
        <v>360</v>
      </c>
      <c r="G126" s="562"/>
    </row>
    <row r="127" spans="2:7" x14ac:dyDescent="0.2">
      <c r="B127" s="550" t="s">
        <v>393</v>
      </c>
      <c r="C127" s="269" t="s">
        <v>350</v>
      </c>
      <c r="D127" s="289">
        <v>15</v>
      </c>
      <c r="E127" s="289">
        <v>22</v>
      </c>
      <c r="G127" s="562"/>
    </row>
    <row r="128" spans="2:7" x14ac:dyDescent="0.2">
      <c r="B128" s="550" t="s">
        <v>394</v>
      </c>
      <c r="C128" s="269" t="s">
        <v>350</v>
      </c>
      <c r="D128" s="289">
        <v>18</v>
      </c>
      <c r="E128" s="290"/>
      <c r="G128" s="562"/>
    </row>
    <row r="129" spans="2:7" x14ac:dyDescent="0.2">
      <c r="B129" s="550" t="s">
        <v>395</v>
      </c>
      <c r="C129" s="269" t="s">
        <v>350</v>
      </c>
      <c r="D129" s="289">
        <v>16.5</v>
      </c>
      <c r="E129" s="290"/>
      <c r="G129" s="562"/>
    </row>
    <row r="130" spans="2:7" x14ac:dyDescent="0.2">
      <c r="B130" s="550" t="s">
        <v>301</v>
      </c>
      <c r="C130" s="269" t="s">
        <v>371</v>
      </c>
      <c r="D130" s="301">
        <f>(30%*D127)+(30%*D128)+(40%*D129)</f>
        <v>16.5</v>
      </c>
      <c r="E130" s="289">
        <v>25</v>
      </c>
      <c r="G130" s="562"/>
    </row>
    <row r="131" spans="2:7" x14ac:dyDescent="0.2">
      <c r="B131" s="550" t="s">
        <v>278</v>
      </c>
      <c r="C131" s="269" t="s">
        <v>361</v>
      </c>
      <c r="D131" s="289">
        <v>9</v>
      </c>
      <c r="E131" s="289">
        <v>5.7</v>
      </c>
      <c r="G131" s="562"/>
    </row>
    <row r="132" spans="2:7" x14ac:dyDescent="0.2">
      <c r="B132" s="550" t="s">
        <v>396</v>
      </c>
      <c r="C132" s="269" t="s">
        <v>339</v>
      </c>
      <c r="D132" s="284">
        <v>0.03</v>
      </c>
      <c r="E132" s="280" t="s">
        <v>397</v>
      </c>
      <c r="G132" s="562"/>
    </row>
    <row r="133" spans="2:7" x14ac:dyDescent="0.2">
      <c r="B133" s="566" t="s">
        <v>157</v>
      </c>
      <c r="G133" s="562"/>
    </row>
    <row r="134" spans="2:7" x14ac:dyDescent="0.2">
      <c r="B134" s="550" t="s">
        <v>272</v>
      </c>
      <c r="C134" s="269" t="s">
        <v>350</v>
      </c>
      <c r="D134" s="289">
        <v>80</v>
      </c>
      <c r="E134" s="289">
        <v>140</v>
      </c>
      <c r="G134" s="562"/>
    </row>
    <row r="135" spans="2:7" x14ac:dyDescent="0.2">
      <c r="B135" s="550" t="s">
        <v>279</v>
      </c>
      <c r="C135" s="269" t="s">
        <v>339</v>
      </c>
      <c r="D135" s="293">
        <v>0.11</v>
      </c>
      <c r="E135" s="293">
        <v>0.11</v>
      </c>
      <c r="G135" s="562"/>
    </row>
    <row r="136" spans="2:7" x14ac:dyDescent="0.2">
      <c r="B136" s="550" t="s">
        <v>242</v>
      </c>
      <c r="C136" s="269" t="s">
        <v>339</v>
      </c>
      <c r="D136" s="293">
        <v>0.09</v>
      </c>
      <c r="E136" s="293">
        <v>0.09</v>
      </c>
      <c r="G136" s="562"/>
    </row>
    <row r="137" spans="2:7" x14ac:dyDescent="0.2">
      <c r="B137" s="550"/>
      <c r="G137" s="562"/>
    </row>
    <row r="138" spans="2:7" x14ac:dyDescent="0.2">
      <c r="B138" s="659" t="s">
        <v>364</v>
      </c>
      <c r="C138" s="294"/>
      <c r="D138" s="294"/>
      <c r="E138" s="294"/>
      <c r="F138" s="294"/>
      <c r="G138" s="660"/>
    </row>
    <row r="139" spans="2:7" x14ac:dyDescent="0.2">
      <c r="B139" s="550"/>
      <c r="C139" s="269" t="s">
        <v>333</v>
      </c>
      <c r="D139" s="269" t="s">
        <v>386</v>
      </c>
      <c r="E139" s="269" t="s">
        <v>323</v>
      </c>
      <c r="G139" s="562"/>
    </row>
    <row r="140" spans="2:7" x14ac:dyDescent="0.2">
      <c r="B140" s="566" t="s">
        <v>337</v>
      </c>
      <c r="G140" s="562"/>
    </row>
    <row r="141" spans="2:7" x14ac:dyDescent="0.2">
      <c r="B141" s="550" t="s">
        <v>366</v>
      </c>
      <c r="C141" s="295" t="s">
        <v>329</v>
      </c>
      <c r="D141" s="285">
        <f>D142*(SUM(D125:E125))</f>
        <v>73600</v>
      </c>
      <c r="E141" s="285">
        <f>D101-D141</f>
        <v>49703</v>
      </c>
      <c r="G141" s="562"/>
    </row>
    <row r="142" spans="2:7" x14ac:dyDescent="0.2">
      <c r="B142" s="550" t="s">
        <v>367</v>
      </c>
      <c r="C142" s="269" t="s">
        <v>329</v>
      </c>
      <c r="D142" s="287">
        <v>200</v>
      </c>
      <c r="E142" s="287">
        <v>200</v>
      </c>
      <c r="G142" s="562"/>
    </row>
    <row r="143" spans="2:7" x14ac:dyDescent="0.2">
      <c r="B143" s="550" t="s">
        <v>368</v>
      </c>
      <c r="C143" s="269" t="s">
        <v>342</v>
      </c>
      <c r="D143" s="285">
        <f>D141/D142</f>
        <v>368</v>
      </c>
      <c r="E143" s="285">
        <f>ROUNDUP(E141/E142,0)</f>
        <v>249</v>
      </c>
      <c r="G143" s="562"/>
    </row>
    <row r="144" spans="2:7" x14ac:dyDescent="0.2">
      <c r="B144" s="550" t="s">
        <v>369</v>
      </c>
      <c r="C144" s="269" t="s">
        <v>342</v>
      </c>
      <c r="D144" s="285">
        <f>0.1*(SUM(D143:F143))</f>
        <v>61.7</v>
      </c>
      <c r="E144" s="285"/>
      <c r="F144" s="285"/>
      <c r="G144" s="562"/>
    </row>
    <row r="145" spans="2:7" x14ac:dyDescent="0.2">
      <c r="B145" s="566" t="s">
        <v>360</v>
      </c>
      <c r="G145" s="562"/>
    </row>
    <row r="146" spans="2:7" x14ac:dyDescent="0.2">
      <c r="B146" s="550" t="s">
        <v>370</v>
      </c>
      <c r="C146" s="269" t="s">
        <v>371</v>
      </c>
      <c r="D146" s="289">
        <v>180</v>
      </c>
      <c r="E146" s="289">
        <v>180</v>
      </c>
      <c r="G146" s="562"/>
    </row>
    <row r="147" spans="2:7" x14ac:dyDescent="0.2">
      <c r="B147" s="550" t="s">
        <v>373</v>
      </c>
      <c r="C147" s="269" t="s">
        <v>374</v>
      </c>
      <c r="D147" s="289">
        <v>2</v>
      </c>
      <c r="E147" s="289">
        <v>2</v>
      </c>
      <c r="G147" s="562"/>
    </row>
    <row r="148" spans="2:7" x14ac:dyDescent="0.2">
      <c r="B148" s="550" t="s">
        <v>302</v>
      </c>
      <c r="C148" s="269" t="s">
        <v>361</v>
      </c>
      <c r="D148" s="289">
        <v>0.5</v>
      </c>
      <c r="E148" s="289">
        <v>0.5</v>
      </c>
      <c r="G148" s="562"/>
    </row>
    <row r="149" spans="2:7" x14ac:dyDescent="0.2">
      <c r="B149" s="566" t="s">
        <v>354</v>
      </c>
      <c r="G149" s="562"/>
    </row>
    <row r="150" spans="2:7" x14ac:dyDescent="0.2">
      <c r="B150" s="550" t="s">
        <v>375</v>
      </c>
      <c r="C150" s="269" t="s">
        <v>339</v>
      </c>
      <c r="D150" s="293">
        <v>0.75</v>
      </c>
      <c r="E150" s="293">
        <v>0.75</v>
      </c>
      <c r="G150" s="562"/>
    </row>
    <row r="151" spans="2:7" x14ac:dyDescent="0.2">
      <c r="B151" s="566" t="s">
        <v>157</v>
      </c>
      <c r="G151" s="562"/>
    </row>
    <row r="152" spans="2:7" x14ac:dyDescent="0.2">
      <c r="B152" s="550" t="s">
        <v>272</v>
      </c>
      <c r="C152" s="269" t="s">
        <v>350</v>
      </c>
      <c r="D152" s="289">
        <v>100</v>
      </c>
      <c r="E152" s="289">
        <v>100</v>
      </c>
      <c r="G152" s="562"/>
    </row>
    <row r="153" spans="2:7" x14ac:dyDescent="0.2">
      <c r="B153" s="550"/>
      <c r="G153" s="562"/>
    </row>
    <row r="154" spans="2:7" x14ac:dyDescent="0.2">
      <c r="B154" s="661" t="s">
        <v>376</v>
      </c>
      <c r="C154" s="296"/>
      <c r="D154" s="296"/>
      <c r="E154" s="296"/>
      <c r="F154" s="296"/>
      <c r="G154" s="662"/>
    </row>
    <row r="155" spans="2:7" x14ac:dyDescent="0.2">
      <c r="B155" s="566" t="s">
        <v>337</v>
      </c>
      <c r="G155" s="562"/>
    </row>
    <row r="156" spans="2:7" x14ac:dyDescent="0.2">
      <c r="B156" s="550" t="s">
        <v>171</v>
      </c>
      <c r="C156" s="269" t="s">
        <v>342</v>
      </c>
      <c r="D156" s="288">
        <v>50</v>
      </c>
      <c r="G156" s="562"/>
    </row>
    <row r="157" spans="2:7" x14ac:dyDescent="0.2">
      <c r="B157" s="550" t="s">
        <v>377</v>
      </c>
      <c r="C157" s="269" t="s">
        <v>329</v>
      </c>
      <c r="D157" s="271">
        <f>I6</f>
        <v>46361.85</v>
      </c>
      <c r="G157" s="562"/>
    </row>
    <row r="158" spans="2:7" x14ac:dyDescent="0.2">
      <c r="B158" s="550" t="s">
        <v>381</v>
      </c>
      <c r="C158" s="269" t="s">
        <v>379</v>
      </c>
      <c r="D158" s="299">
        <f>D159/D157</f>
        <v>0.68843240724863219</v>
      </c>
      <c r="E158" s="269" t="s">
        <v>398</v>
      </c>
      <c r="G158" s="562"/>
    </row>
    <row r="159" spans="2:7" x14ac:dyDescent="0.2">
      <c r="B159" s="550" t="s">
        <v>381</v>
      </c>
      <c r="C159" s="269" t="s">
        <v>329</v>
      </c>
      <c r="D159" s="271">
        <f>D160*2</f>
        <v>31917</v>
      </c>
      <c r="G159" s="562"/>
    </row>
    <row r="160" spans="2:7" ht="13.5" thickBot="1" x14ac:dyDescent="0.25">
      <c r="B160" s="563" t="s">
        <v>399</v>
      </c>
      <c r="C160" s="564" t="s">
        <v>329</v>
      </c>
      <c r="D160" s="663">
        <f>[2]Massing!D126</f>
        <v>15958.5</v>
      </c>
      <c r="E160" s="564" t="s">
        <v>400</v>
      </c>
      <c r="F160" s="564"/>
      <c r="G160" s="565"/>
    </row>
    <row r="161" spans="2:16" ht="13.5" thickBot="1" x14ac:dyDescent="0.25"/>
    <row r="162" spans="2:16" x14ac:dyDescent="0.2">
      <c r="B162" s="627" t="s">
        <v>135</v>
      </c>
      <c r="C162" s="645"/>
      <c r="D162" s="628" t="s">
        <v>150</v>
      </c>
      <c r="E162" s="645"/>
      <c r="F162" s="645"/>
      <c r="G162" s="646"/>
    </row>
    <row r="163" spans="2:16" x14ac:dyDescent="0.2">
      <c r="B163" s="550"/>
      <c r="G163" s="562"/>
    </row>
    <row r="164" spans="2:16" x14ac:dyDescent="0.2">
      <c r="B164" s="550" t="s">
        <v>401</v>
      </c>
      <c r="C164" s="269" t="s">
        <v>329</v>
      </c>
      <c r="D164" s="271">
        <f>I7</f>
        <v>70704.3</v>
      </c>
      <c r="G164" s="562"/>
    </row>
    <row r="165" spans="2:16" x14ac:dyDescent="0.2">
      <c r="B165" s="550" t="s">
        <v>402</v>
      </c>
      <c r="C165" s="269" t="s">
        <v>329</v>
      </c>
      <c r="D165" s="271">
        <v>45036</v>
      </c>
      <c r="G165" s="562"/>
    </row>
    <row r="166" spans="2:16" x14ac:dyDescent="0.2">
      <c r="B166" s="550" t="s">
        <v>159</v>
      </c>
      <c r="C166" s="269" t="s">
        <v>329</v>
      </c>
      <c r="D166" s="271">
        <v>187685</v>
      </c>
      <c r="E166" s="269" t="s">
        <v>403</v>
      </c>
      <c r="G166" s="562"/>
    </row>
    <row r="167" spans="2:16" x14ac:dyDescent="0.2">
      <c r="B167" s="550" t="s">
        <v>404</v>
      </c>
      <c r="C167" s="269" t="s">
        <v>329</v>
      </c>
      <c r="D167" s="271">
        <f>D166*0.6</f>
        <v>112611</v>
      </c>
      <c r="E167" s="269" t="s">
        <v>403</v>
      </c>
      <c r="G167" s="562"/>
    </row>
    <row r="168" spans="2:16" x14ac:dyDescent="0.2">
      <c r="B168" s="550" t="s">
        <v>405</v>
      </c>
      <c r="C168" s="269" t="s">
        <v>329</v>
      </c>
      <c r="D168" s="271">
        <f>D166*0.4</f>
        <v>75074</v>
      </c>
      <c r="E168" s="269" t="s">
        <v>403</v>
      </c>
      <c r="G168" s="562"/>
      <c r="I168" s="759"/>
    </row>
    <row r="169" spans="2:16" x14ac:dyDescent="0.2">
      <c r="B169" s="550" t="s">
        <v>406</v>
      </c>
      <c r="C169" s="269" t="s">
        <v>329</v>
      </c>
      <c r="D169" s="271">
        <v>27957</v>
      </c>
      <c r="E169" s="269" t="s">
        <v>403</v>
      </c>
      <c r="G169" s="562"/>
    </row>
    <row r="170" spans="2:16" x14ac:dyDescent="0.2">
      <c r="B170" s="550" t="s">
        <v>385</v>
      </c>
      <c r="C170" s="269" t="s">
        <v>329</v>
      </c>
      <c r="D170" s="271">
        <v>55914</v>
      </c>
      <c r="E170" s="269" t="s">
        <v>403</v>
      </c>
      <c r="G170" s="562"/>
    </row>
    <row r="171" spans="2:16" x14ac:dyDescent="0.2">
      <c r="B171" s="550"/>
      <c r="G171" s="562"/>
    </row>
    <row r="172" spans="2:16" x14ac:dyDescent="0.2">
      <c r="B172" s="649" t="s">
        <v>407</v>
      </c>
      <c r="C172" s="272"/>
      <c r="D172" s="272"/>
      <c r="E172" s="272"/>
      <c r="F172" s="272"/>
      <c r="G172" s="650"/>
    </row>
    <row r="173" spans="2:16" x14ac:dyDescent="0.2">
      <c r="B173" s="127"/>
      <c r="C173" s="1"/>
      <c r="D173" s="302" t="s">
        <v>408</v>
      </c>
      <c r="E173" s="302"/>
      <c r="F173" s="302" t="s">
        <v>9</v>
      </c>
      <c r="G173" s="666"/>
      <c r="H173" s="1"/>
      <c r="I173" s="1"/>
      <c r="J173" s="1"/>
      <c r="K173" s="1"/>
      <c r="L173" s="1"/>
      <c r="M173" s="1"/>
      <c r="N173" s="1"/>
      <c r="O173" s="1"/>
      <c r="P173" s="1"/>
    </row>
    <row r="174" spans="2:16" x14ac:dyDescent="0.2">
      <c r="B174" s="550"/>
      <c r="C174" s="269" t="s">
        <v>333</v>
      </c>
      <c r="D174" s="273" t="s">
        <v>335</v>
      </c>
      <c r="E174" s="273" t="s">
        <v>336</v>
      </c>
      <c r="F174" s="273" t="s">
        <v>335</v>
      </c>
      <c r="G174" s="667" t="s">
        <v>336</v>
      </c>
    </row>
    <row r="175" spans="2:16" s="1" customFormat="1" x14ac:dyDescent="0.2">
      <c r="B175" s="566" t="s">
        <v>337</v>
      </c>
      <c r="C175" s="269"/>
      <c r="D175" s="273"/>
      <c r="E175" s="273"/>
      <c r="F175" s="269"/>
      <c r="G175" s="562"/>
      <c r="H175" s="269"/>
      <c r="I175" s="269"/>
      <c r="J175" s="269"/>
      <c r="K175" s="269"/>
      <c r="L175" s="269"/>
      <c r="M175" s="269"/>
      <c r="N175" s="269"/>
      <c r="O175" s="269"/>
      <c r="P175" s="269"/>
    </row>
    <row r="176" spans="2:16" x14ac:dyDescent="0.2">
      <c r="B176" s="550" t="s">
        <v>338</v>
      </c>
      <c r="C176" s="269" t="s">
        <v>339</v>
      </c>
      <c r="D176" s="275">
        <v>0.4</v>
      </c>
      <c r="E176" s="251">
        <f>(1-D176)</f>
        <v>0.6</v>
      </c>
      <c r="F176" s="251">
        <f>D176</f>
        <v>0.4</v>
      </c>
      <c r="G176" s="668">
        <f>(1-F176)</f>
        <v>0.6</v>
      </c>
    </row>
    <row r="177" spans="2:7" x14ac:dyDescent="0.2">
      <c r="B177" s="550" t="s">
        <v>340</v>
      </c>
      <c r="C177" s="269" t="s">
        <v>329</v>
      </c>
      <c r="D177" s="276">
        <f>D176*$D$167</f>
        <v>45044.4</v>
      </c>
      <c r="E177" s="276">
        <f>E176*$D$167</f>
        <v>67566.599999999991</v>
      </c>
      <c r="F177" s="276">
        <f>F176*$D$168</f>
        <v>30029.600000000002</v>
      </c>
      <c r="G177" s="669">
        <f>G176*$D$168</f>
        <v>45044.4</v>
      </c>
    </row>
    <row r="178" spans="2:7" x14ac:dyDescent="0.2">
      <c r="B178" s="550" t="s">
        <v>341</v>
      </c>
      <c r="C178" s="269" t="s">
        <v>342</v>
      </c>
      <c r="D178" s="277">
        <f t="shared" ref="D178" si="5">ROUNDUP(D177/D179,0)</f>
        <v>49</v>
      </c>
      <c r="E178" s="277">
        <f>ROUNDUP(E177/E179,0)</f>
        <v>51</v>
      </c>
      <c r="F178" s="277">
        <f t="shared" ref="F178" si="6">ROUNDUP(F177/F179,0)</f>
        <v>47</v>
      </c>
      <c r="G178" s="670">
        <f>ROUNDUP(G177/G179,0)</f>
        <v>49</v>
      </c>
    </row>
    <row r="179" spans="2:7" x14ac:dyDescent="0.2">
      <c r="B179" s="550" t="s">
        <v>343</v>
      </c>
      <c r="C179" s="269" t="s">
        <v>329</v>
      </c>
      <c r="D179" s="277">
        <f>ROUNDUP(D181/D180,0)</f>
        <v>923</v>
      </c>
      <c r="E179" s="277">
        <f t="shared" ref="E179:G179" si="7">ROUNDUP(E181/E180,0)</f>
        <v>1334</v>
      </c>
      <c r="F179" s="277">
        <f t="shared" si="7"/>
        <v>646</v>
      </c>
      <c r="G179" s="670">
        <f t="shared" si="7"/>
        <v>934</v>
      </c>
    </row>
    <row r="180" spans="2:7" x14ac:dyDescent="0.2">
      <c r="B180" s="550" t="s">
        <v>344</v>
      </c>
      <c r="C180" s="269" t="s">
        <v>339</v>
      </c>
      <c r="D180" s="275">
        <v>0.9</v>
      </c>
      <c r="E180" s="275">
        <v>0.9</v>
      </c>
      <c r="F180" s="275">
        <v>0.9</v>
      </c>
      <c r="G180" s="671">
        <v>0.9</v>
      </c>
    </row>
    <row r="181" spans="2:7" x14ac:dyDescent="0.2">
      <c r="B181" s="550" t="s">
        <v>345</v>
      </c>
      <c r="C181" s="269" t="s">
        <v>329</v>
      </c>
      <c r="D181" s="278">
        <v>830</v>
      </c>
      <c r="E181" s="278">
        <v>1200</v>
      </c>
      <c r="F181" s="278">
        <f>D181*0.7</f>
        <v>581</v>
      </c>
      <c r="G181" s="672">
        <f>E181*0.7</f>
        <v>840</v>
      </c>
    </row>
    <row r="182" spans="2:7" x14ac:dyDescent="0.2">
      <c r="B182" s="550" t="s">
        <v>346</v>
      </c>
      <c r="C182" s="269" t="s">
        <v>347</v>
      </c>
      <c r="D182" s="278">
        <v>10</v>
      </c>
      <c r="E182" s="278">
        <v>10</v>
      </c>
      <c r="F182" s="278">
        <v>10</v>
      </c>
      <c r="G182" s="672">
        <v>10</v>
      </c>
    </row>
    <row r="183" spans="2:7" x14ac:dyDescent="0.2">
      <c r="B183" s="566" t="s">
        <v>348</v>
      </c>
      <c r="D183" s="279"/>
      <c r="E183" s="279"/>
      <c r="F183" s="279"/>
      <c r="G183" s="673"/>
    </row>
    <row r="184" spans="2:7" x14ac:dyDescent="0.2">
      <c r="B184" s="550" t="s">
        <v>409</v>
      </c>
      <c r="C184" s="269" t="s">
        <v>410</v>
      </c>
      <c r="D184" s="280">
        <v>0.5</v>
      </c>
      <c r="E184" s="280">
        <v>0.5</v>
      </c>
      <c r="F184" s="280">
        <v>0.3</v>
      </c>
      <c r="G184" s="674">
        <v>0.3</v>
      </c>
    </row>
    <row r="185" spans="2:7" x14ac:dyDescent="0.2">
      <c r="B185" s="550" t="s">
        <v>411</v>
      </c>
      <c r="C185" s="269" t="s">
        <v>412</v>
      </c>
      <c r="D185" s="280">
        <v>1500</v>
      </c>
      <c r="E185" s="280">
        <v>1900</v>
      </c>
      <c r="F185" s="281">
        <f>D185*0.7</f>
        <v>1050</v>
      </c>
      <c r="G185" s="675">
        <f>E185*0.7</f>
        <v>1330</v>
      </c>
    </row>
    <row r="186" spans="2:7" x14ac:dyDescent="0.2">
      <c r="B186" s="550" t="s">
        <v>411</v>
      </c>
      <c r="C186" s="269" t="s">
        <v>413</v>
      </c>
      <c r="D186" s="281">
        <f>D185/D181</f>
        <v>1.8072289156626506</v>
      </c>
      <c r="E186" s="281">
        <f t="shared" ref="E186:G186" si="8">E185/E181</f>
        <v>1.5833333333333333</v>
      </c>
      <c r="F186" s="281">
        <f t="shared" si="8"/>
        <v>1.8072289156626506</v>
      </c>
      <c r="G186" s="675">
        <f t="shared" si="8"/>
        <v>1.5833333333333333</v>
      </c>
    </row>
    <row r="187" spans="2:7" x14ac:dyDescent="0.2">
      <c r="B187" s="566" t="s">
        <v>157</v>
      </c>
      <c r="D187" s="279"/>
      <c r="E187" s="279"/>
      <c r="F187" s="279"/>
      <c r="G187" s="673"/>
    </row>
    <row r="188" spans="2:7" x14ac:dyDescent="0.2">
      <c r="B188" s="550" t="s">
        <v>272</v>
      </c>
      <c r="C188" s="269" t="s">
        <v>350</v>
      </c>
      <c r="D188" s="280">
        <v>90</v>
      </c>
      <c r="E188" s="280">
        <v>90</v>
      </c>
      <c r="F188" s="280">
        <f>D188*0.8</f>
        <v>72</v>
      </c>
      <c r="G188" s="674">
        <f>E188*0.8</f>
        <v>72</v>
      </c>
    </row>
    <row r="189" spans="2:7" x14ac:dyDescent="0.2">
      <c r="B189" s="566" t="s">
        <v>354</v>
      </c>
      <c r="D189" s="279"/>
      <c r="E189" s="279"/>
      <c r="F189" s="279"/>
      <c r="G189" s="673"/>
    </row>
    <row r="190" spans="2:7" x14ac:dyDescent="0.2">
      <c r="B190" s="550" t="s">
        <v>355</v>
      </c>
      <c r="C190" s="269" t="s">
        <v>339</v>
      </c>
      <c r="D190" s="275">
        <v>5.5E-2</v>
      </c>
      <c r="E190" s="275">
        <v>5.5E-2</v>
      </c>
      <c r="F190" s="275">
        <v>0.06</v>
      </c>
      <c r="G190" s="671">
        <v>0.06</v>
      </c>
    </row>
    <row r="191" spans="2:7" x14ac:dyDescent="0.2">
      <c r="B191" s="550" t="s">
        <v>72</v>
      </c>
      <c r="C191" s="269" t="s">
        <v>339</v>
      </c>
      <c r="D191" s="275">
        <v>0.9</v>
      </c>
      <c r="E191" s="275">
        <v>0.9</v>
      </c>
      <c r="F191" s="275">
        <v>0.85</v>
      </c>
      <c r="G191" s="671">
        <v>0.85</v>
      </c>
    </row>
    <row r="192" spans="2:7" x14ac:dyDescent="0.2">
      <c r="B192" s="550"/>
      <c r="G192" s="562"/>
    </row>
    <row r="193" spans="2:7" x14ac:dyDescent="0.2">
      <c r="B193" s="651" t="s">
        <v>414</v>
      </c>
      <c r="C193" s="282"/>
      <c r="D193" s="282"/>
      <c r="E193" s="282"/>
      <c r="F193" s="282"/>
      <c r="G193" s="652"/>
    </row>
    <row r="194" spans="2:7" x14ac:dyDescent="0.2">
      <c r="B194" s="550"/>
      <c r="C194" s="269" t="s">
        <v>333</v>
      </c>
      <c r="D194" s="274" t="s">
        <v>415</v>
      </c>
      <c r="E194" s="274" t="s">
        <v>416</v>
      </c>
      <c r="F194" s="274" t="s">
        <v>417</v>
      </c>
      <c r="G194" s="562"/>
    </row>
    <row r="195" spans="2:7" x14ac:dyDescent="0.2">
      <c r="B195" s="566" t="s">
        <v>337</v>
      </c>
      <c r="F195" s="283"/>
      <c r="G195" s="562"/>
    </row>
    <row r="196" spans="2:7" x14ac:dyDescent="0.2">
      <c r="B196" s="550" t="s">
        <v>338</v>
      </c>
      <c r="C196" s="269" t="s">
        <v>339</v>
      </c>
      <c r="D196" s="284">
        <v>0.2</v>
      </c>
      <c r="E196" s="284">
        <v>0.6</v>
      </c>
      <c r="F196" s="188">
        <f>(1-D196-E196)</f>
        <v>0.20000000000000007</v>
      </c>
      <c r="G196" s="562"/>
    </row>
    <row r="197" spans="2:7" x14ac:dyDescent="0.2">
      <c r="B197" s="550" t="s">
        <v>340</v>
      </c>
      <c r="C197" s="269" t="s">
        <v>329</v>
      </c>
      <c r="D197" s="285">
        <f>D196*$D$169</f>
        <v>5591.4000000000005</v>
      </c>
      <c r="E197" s="285">
        <f t="shared" ref="E197:F197" si="9">E196*$D$169</f>
        <v>16774.2</v>
      </c>
      <c r="F197" s="285">
        <f t="shared" si="9"/>
        <v>5591.4000000000015</v>
      </c>
      <c r="G197" s="562"/>
    </row>
    <row r="198" spans="2:7" x14ac:dyDescent="0.2">
      <c r="B198" s="550" t="s">
        <v>359</v>
      </c>
      <c r="C198" s="269" t="s">
        <v>342</v>
      </c>
      <c r="D198" s="287">
        <v>2</v>
      </c>
      <c r="E198" s="303">
        <v>1</v>
      </c>
      <c r="F198" s="288">
        <v>2</v>
      </c>
      <c r="G198" s="562"/>
    </row>
    <row r="199" spans="2:7" x14ac:dyDescent="0.2">
      <c r="B199" s="550" t="s">
        <v>270</v>
      </c>
      <c r="C199" s="269" t="s">
        <v>339</v>
      </c>
      <c r="D199" s="284">
        <v>0.95</v>
      </c>
      <c r="E199" s="284">
        <v>0.95</v>
      </c>
      <c r="F199" s="284">
        <v>0.9</v>
      </c>
      <c r="G199" s="562"/>
    </row>
    <row r="200" spans="2:7" x14ac:dyDescent="0.2">
      <c r="B200" s="550" t="s">
        <v>70</v>
      </c>
      <c r="C200" s="269" t="s">
        <v>329</v>
      </c>
      <c r="D200" s="285">
        <f>D197*D199</f>
        <v>5311.83</v>
      </c>
      <c r="E200" s="285">
        <f>E197*E199</f>
        <v>15935.49</v>
      </c>
      <c r="F200" s="285">
        <f>F197*F199</f>
        <v>5032.2600000000011</v>
      </c>
      <c r="G200" s="562"/>
    </row>
    <row r="201" spans="2:7" x14ac:dyDescent="0.2">
      <c r="B201" s="566" t="s">
        <v>360</v>
      </c>
      <c r="D201" s="286"/>
      <c r="G201" s="562"/>
    </row>
    <row r="202" spans="2:7" x14ac:dyDescent="0.2">
      <c r="B202" s="550" t="s">
        <v>278</v>
      </c>
      <c r="C202" s="269" t="s">
        <v>361</v>
      </c>
      <c r="D202" s="289">
        <v>4</v>
      </c>
      <c r="E202" s="289">
        <v>4</v>
      </c>
      <c r="F202" s="289">
        <v>4</v>
      </c>
      <c r="G202" s="562"/>
    </row>
    <row r="203" spans="2:7" x14ac:dyDescent="0.2">
      <c r="B203" s="550" t="s">
        <v>301</v>
      </c>
      <c r="C203" s="269" t="s">
        <v>350</v>
      </c>
      <c r="D203" s="289">
        <v>21.5</v>
      </c>
      <c r="E203" s="289">
        <v>15.15</v>
      </c>
      <c r="F203" s="289">
        <v>28</v>
      </c>
      <c r="G203" s="562"/>
    </row>
    <row r="204" spans="2:7" x14ac:dyDescent="0.2">
      <c r="B204" s="566" t="s">
        <v>157</v>
      </c>
      <c r="G204" s="562"/>
    </row>
    <row r="205" spans="2:7" x14ac:dyDescent="0.2">
      <c r="B205" s="550" t="s">
        <v>272</v>
      </c>
      <c r="C205" s="269" t="s">
        <v>350</v>
      </c>
      <c r="D205" s="289">
        <v>120</v>
      </c>
      <c r="E205" s="289">
        <v>120</v>
      </c>
      <c r="F205" s="289">
        <v>120</v>
      </c>
      <c r="G205" s="562"/>
    </row>
    <row r="206" spans="2:7" x14ac:dyDescent="0.2">
      <c r="B206" s="566" t="s">
        <v>354</v>
      </c>
      <c r="G206" s="562"/>
    </row>
    <row r="207" spans="2:7" x14ac:dyDescent="0.2">
      <c r="B207" s="550" t="s">
        <v>355</v>
      </c>
      <c r="C207" s="269" t="s">
        <v>339</v>
      </c>
      <c r="D207" s="284">
        <v>6.3E-2</v>
      </c>
      <c r="E207" s="284">
        <v>6.3E-2</v>
      </c>
      <c r="F207" s="284">
        <v>0.06</v>
      </c>
      <c r="G207" s="562"/>
    </row>
    <row r="208" spans="2:7" x14ac:dyDescent="0.2">
      <c r="B208" s="550" t="s">
        <v>72</v>
      </c>
      <c r="C208" s="269" t="s">
        <v>339</v>
      </c>
      <c r="D208" s="284">
        <v>0.75</v>
      </c>
      <c r="E208" s="284">
        <v>0.75</v>
      </c>
      <c r="F208" s="284">
        <v>0.75</v>
      </c>
      <c r="G208" s="562"/>
    </row>
    <row r="209" spans="2:7" x14ac:dyDescent="0.2">
      <c r="B209" s="550" t="s">
        <v>279</v>
      </c>
      <c r="C209" s="269" t="s">
        <v>339</v>
      </c>
      <c r="D209" s="284">
        <v>4.4999999999999998E-2</v>
      </c>
      <c r="E209" s="284">
        <v>3.5999999999999997E-2</v>
      </c>
      <c r="F209" s="284">
        <v>4.4999999999999998E-2</v>
      </c>
      <c r="G209" s="562"/>
    </row>
    <row r="210" spans="2:7" x14ac:dyDescent="0.2">
      <c r="B210" s="550"/>
      <c r="G210" s="562"/>
    </row>
    <row r="211" spans="2:7" x14ac:dyDescent="0.2">
      <c r="B211" s="659" t="s">
        <v>364</v>
      </c>
      <c r="C211" s="294"/>
      <c r="D211" s="294"/>
      <c r="E211" s="294"/>
      <c r="F211" s="294"/>
      <c r="G211" s="660"/>
    </row>
    <row r="212" spans="2:7" x14ac:dyDescent="0.2">
      <c r="B212" s="550"/>
      <c r="C212" s="269" t="s">
        <v>333</v>
      </c>
      <c r="D212" s="269" t="s">
        <v>418</v>
      </c>
      <c r="E212" s="269" t="s">
        <v>61</v>
      </c>
      <c r="G212" s="562"/>
    </row>
    <row r="213" spans="2:7" x14ac:dyDescent="0.2">
      <c r="B213" s="566" t="s">
        <v>337</v>
      </c>
      <c r="G213" s="562"/>
    </row>
    <row r="214" spans="2:7" x14ac:dyDescent="0.2">
      <c r="B214" s="550" t="s">
        <v>366</v>
      </c>
      <c r="C214" s="295" t="s">
        <v>329</v>
      </c>
      <c r="D214" s="285">
        <f>D215*(SUM(D178:G178))</f>
        <v>39200</v>
      </c>
      <c r="E214" s="285">
        <f>D170-D214</f>
        <v>16714</v>
      </c>
      <c r="G214" s="562"/>
    </row>
    <row r="215" spans="2:7" x14ac:dyDescent="0.2">
      <c r="B215" s="550" t="s">
        <v>367</v>
      </c>
      <c r="C215" s="269" t="s">
        <v>329</v>
      </c>
      <c r="D215" s="287">
        <v>200</v>
      </c>
      <c r="E215" s="287">
        <v>200</v>
      </c>
      <c r="G215" s="562"/>
    </row>
    <row r="216" spans="2:7" x14ac:dyDescent="0.2">
      <c r="B216" s="550" t="s">
        <v>368</v>
      </c>
      <c r="C216" s="269" t="s">
        <v>342</v>
      </c>
      <c r="D216" s="285">
        <f>ROUNDUP(D214/D215,0)</f>
        <v>196</v>
      </c>
      <c r="E216" s="285">
        <f>ROUNDUP(E214/E215,0)</f>
        <v>84</v>
      </c>
      <c r="G216" s="562"/>
    </row>
    <row r="217" spans="2:7" x14ac:dyDescent="0.2">
      <c r="B217" s="550" t="s">
        <v>369</v>
      </c>
      <c r="C217" s="269" t="s">
        <v>342</v>
      </c>
      <c r="D217" s="285">
        <f>0.1*(SUM(D216:F216))</f>
        <v>28</v>
      </c>
      <c r="E217" s="285"/>
      <c r="F217" s="285"/>
      <c r="G217" s="562"/>
    </row>
    <row r="218" spans="2:7" x14ac:dyDescent="0.2">
      <c r="B218" s="566" t="s">
        <v>360</v>
      </c>
      <c r="C218" s="269" t="s">
        <v>352</v>
      </c>
      <c r="G218" s="562"/>
    </row>
    <row r="219" spans="2:7" x14ac:dyDescent="0.2">
      <c r="B219" s="550" t="s">
        <v>302</v>
      </c>
      <c r="C219" s="269" t="s">
        <v>361</v>
      </c>
      <c r="D219" s="289">
        <v>0.5</v>
      </c>
      <c r="E219" s="289">
        <v>0.5</v>
      </c>
      <c r="G219" s="562"/>
    </row>
    <row r="220" spans="2:7" x14ac:dyDescent="0.2">
      <c r="B220" s="550" t="s">
        <v>370</v>
      </c>
      <c r="C220" s="269" t="s">
        <v>371</v>
      </c>
      <c r="D220" s="289">
        <v>180</v>
      </c>
      <c r="E220" s="289">
        <v>180</v>
      </c>
      <c r="G220" s="562"/>
    </row>
    <row r="221" spans="2:7" x14ac:dyDescent="0.2">
      <c r="B221" s="550" t="s">
        <v>373</v>
      </c>
      <c r="C221" s="269" t="s">
        <v>374</v>
      </c>
      <c r="D221" s="289">
        <v>2</v>
      </c>
      <c r="E221" s="289">
        <v>2</v>
      </c>
      <c r="G221" s="562"/>
    </row>
    <row r="222" spans="2:7" x14ac:dyDescent="0.2">
      <c r="B222" s="566" t="s">
        <v>354</v>
      </c>
      <c r="G222" s="562"/>
    </row>
    <row r="223" spans="2:7" x14ac:dyDescent="0.2">
      <c r="B223" s="550" t="s">
        <v>375</v>
      </c>
      <c r="C223" s="269" t="s">
        <v>339</v>
      </c>
      <c r="D223" s="293">
        <v>0.75</v>
      </c>
      <c r="E223" s="293">
        <v>0.6</v>
      </c>
      <c r="G223" s="562"/>
    </row>
    <row r="224" spans="2:7" x14ac:dyDescent="0.2">
      <c r="B224" s="566" t="s">
        <v>157</v>
      </c>
      <c r="G224" s="562"/>
    </row>
    <row r="225" spans="2:7" x14ac:dyDescent="0.2">
      <c r="B225" s="550" t="s">
        <v>272</v>
      </c>
      <c r="C225" s="269" t="s">
        <v>350</v>
      </c>
      <c r="D225" s="289">
        <v>100</v>
      </c>
      <c r="E225" s="289">
        <v>100</v>
      </c>
      <c r="G225" s="562"/>
    </row>
    <row r="226" spans="2:7" x14ac:dyDescent="0.2">
      <c r="B226" s="550"/>
      <c r="G226" s="562"/>
    </row>
    <row r="227" spans="2:7" x14ac:dyDescent="0.2">
      <c r="B227" s="661" t="s">
        <v>376</v>
      </c>
      <c r="C227" s="296"/>
      <c r="D227" s="296"/>
      <c r="E227" s="296"/>
      <c r="F227" s="296"/>
      <c r="G227" s="662"/>
    </row>
    <row r="228" spans="2:7" x14ac:dyDescent="0.2">
      <c r="B228" s="566" t="s">
        <v>337</v>
      </c>
      <c r="G228" s="562"/>
    </row>
    <row r="229" spans="2:7" x14ac:dyDescent="0.2">
      <c r="B229" s="550" t="s">
        <v>171</v>
      </c>
      <c r="C229" s="269" t="s">
        <v>342</v>
      </c>
      <c r="D229" s="288">
        <v>50</v>
      </c>
      <c r="G229" s="562"/>
    </row>
    <row r="230" spans="2:7" x14ac:dyDescent="0.2">
      <c r="B230" s="550" t="s">
        <v>419</v>
      </c>
      <c r="C230" s="269" t="s">
        <v>329</v>
      </c>
      <c r="D230" s="271">
        <f>I7</f>
        <v>70704.3</v>
      </c>
      <c r="E230" s="269" t="s">
        <v>420</v>
      </c>
      <c r="G230" s="562"/>
    </row>
    <row r="231" spans="2:7" x14ac:dyDescent="0.2">
      <c r="B231" s="550" t="s">
        <v>421</v>
      </c>
      <c r="C231" s="269" t="s">
        <v>329</v>
      </c>
      <c r="D231" s="271">
        <f>D165</f>
        <v>45036</v>
      </c>
      <c r="G231" s="562"/>
    </row>
    <row r="232" spans="2:7" x14ac:dyDescent="0.2">
      <c r="B232" s="550" t="s">
        <v>381</v>
      </c>
      <c r="C232" s="269" t="s">
        <v>379</v>
      </c>
      <c r="D232" s="293">
        <v>0.3</v>
      </c>
      <c r="E232" s="269" t="s">
        <v>380</v>
      </c>
      <c r="G232" s="562"/>
    </row>
    <row r="233" spans="2:7" x14ac:dyDescent="0.2">
      <c r="B233" s="550" t="s">
        <v>381</v>
      </c>
      <c r="C233" s="269" t="s">
        <v>329</v>
      </c>
      <c r="D233" s="271">
        <f>(D230+D231)*D232</f>
        <v>34722.089999999997</v>
      </c>
      <c r="G233" s="562"/>
    </row>
    <row r="234" spans="2:7" x14ac:dyDescent="0.2">
      <c r="B234" s="550" t="s">
        <v>422</v>
      </c>
      <c r="C234" s="269" t="s">
        <v>329</v>
      </c>
      <c r="D234" s="271">
        <f>[2]Massing!C48</f>
        <v>3884</v>
      </c>
      <c r="G234" s="562"/>
    </row>
    <row r="235" spans="2:7" ht="13.5" thickBot="1" x14ac:dyDescent="0.25">
      <c r="B235" s="563" t="s">
        <v>169</v>
      </c>
      <c r="C235" s="564" t="s">
        <v>329</v>
      </c>
      <c r="D235" s="663">
        <f>[2]Massing!C63</f>
        <v>10674</v>
      </c>
      <c r="E235" s="564"/>
      <c r="F235" s="564"/>
      <c r="G235" s="565"/>
    </row>
    <row r="236" spans="2:7" ht="13.5" thickBot="1" x14ac:dyDescent="0.25"/>
    <row r="237" spans="2:7" x14ac:dyDescent="0.2">
      <c r="B237" s="627" t="s">
        <v>423</v>
      </c>
      <c r="C237" s="645"/>
      <c r="D237" s="628" t="s">
        <v>151</v>
      </c>
      <c r="E237" s="645"/>
      <c r="F237" s="645"/>
      <c r="G237" s="646"/>
    </row>
    <row r="238" spans="2:7" x14ac:dyDescent="0.2">
      <c r="B238" s="550"/>
      <c r="G238" s="562"/>
    </row>
    <row r="239" spans="2:7" x14ac:dyDescent="0.2">
      <c r="B239" s="550" t="s">
        <v>424</v>
      </c>
      <c r="C239" s="269" t="s">
        <v>329</v>
      </c>
      <c r="D239" s="271">
        <f>D8</f>
        <v>90622</v>
      </c>
      <c r="G239" s="562"/>
    </row>
    <row r="240" spans="2:7" x14ac:dyDescent="0.2">
      <c r="B240" s="550" t="s">
        <v>425</v>
      </c>
      <c r="C240" s="269" t="s">
        <v>329</v>
      </c>
      <c r="D240" s="271">
        <f>[2]Massing!C65</f>
        <v>45035.9</v>
      </c>
      <c r="G240" s="562"/>
    </row>
    <row r="241" spans="2:7" x14ac:dyDescent="0.2">
      <c r="B241" s="550" t="s">
        <v>635</v>
      </c>
      <c r="C241" s="269" t="s">
        <v>329</v>
      </c>
      <c r="D241" s="271">
        <f>SUM(Massing!E62+Massing!E63+Massing!E64+Massing!E65+Massing!E72+Massing!E73+Massing!E74)</f>
        <v>178924</v>
      </c>
      <c r="E241" s="269" t="s">
        <v>426</v>
      </c>
      <c r="G241" s="562"/>
    </row>
    <row r="242" spans="2:7" x14ac:dyDescent="0.2">
      <c r="B242" s="550" t="s">
        <v>404</v>
      </c>
      <c r="C242" s="269" t="s">
        <v>329</v>
      </c>
      <c r="D242" s="271">
        <f>D241*0.6</f>
        <v>107354.4</v>
      </c>
      <c r="E242" s="269" t="s">
        <v>426</v>
      </c>
      <c r="G242" s="562"/>
    </row>
    <row r="243" spans="2:7" x14ac:dyDescent="0.2">
      <c r="B243" s="550" t="s">
        <v>405</v>
      </c>
      <c r="C243" s="269" t="s">
        <v>329</v>
      </c>
      <c r="D243" s="271">
        <f>D241*0.4</f>
        <v>71569.600000000006</v>
      </c>
      <c r="E243" s="269" t="s">
        <v>426</v>
      </c>
      <c r="G243" s="562"/>
    </row>
    <row r="244" spans="2:7" x14ac:dyDescent="0.2">
      <c r="B244" s="550" t="s">
        <v>406</v>
      </c>
      <c r="C244" s="269" t="s">
        <v>329</v>
      </c>
      <c r="D244" s="271">
        <v>28579</v>
      </c>
      <c r="E244" s="269" t="s">
        <v>426</v>
      </c>
      <c r="G244" s="562"/>
    </row>
    <row r="245" spans="2:7" x14ac:dyDescent="0.2">
      <c r="B245" s="550" t="s">
        <v>385</v>
      </c>
      <c r="C245" s="269" t="s">
        <v>329</v>
      </c>
      <c r="D245" s="271">
        <v>57158</v>
      </c>
      <c r="E245" s="269" t="s">
        <v>426</v>
      </c>
      <c r="G245" s="562"/>
    </row>
    <row r="246" spans="2:7" x14ac:dyDescent="0.2">
      <c r="B246" s="550"/>
      <c r="G246" s="562"/>
    </row>
    <row r="247" spans="2:7" x14ac:dyDescent="0.2">
      <c r="B247" s="649" t="s">
        <v>427</v>
      </c>
      <c r="C247" s="272"/>
      <c r="D247" s="272"/>
      <c r="E247" s="272"/>
      <c r="F247" s="272"/>
      <c r="G247" s="650"/>
    </row>
    <row r="248" spans="2:7" x14ac:dyDescent="0.2">
      <c r="B248" s="127"/>
      <c r="C248" s="1"/>
      <c r="D248" s="302" t="s">
        <v>408</v>
      </c>
      <c r="E248" s="302"/>
      <c r="F248" s="302" t="s">
        <v>9</v>
      </c>
      <c r="G248" s="666"/>
    </row>
    <row r="249" spans="2:7" x14ac:dyDescent="0.2">
      <c r="B249" s="550"/>
      <c r="C249" s="269" t="s">
        <v>333</v>
      </c>
      <c r="D249" s="273" t="s">
        <v>335</v>
      </c>
      <c r="E249" s="273" t="s">
        <v>336</v>
      </c>
      <c r="F249" s="273" t="s">
        <v>335</v>
      </c>
      <c r="G249" s="667" t="s">
        <v>336</v>
      </c>
    </row>
    <row r="250" spans="2:7" x14ac:dyDescent="0.2">
      <c r="B250" s="566" t="s">
        <v>337</v>
      </c>
      <c r="D250" s="273"/>
      <c r="E250" s="273"/>
      <c r="G250" s="562"/>
    </row>
    <row r="251" spans="2:7" x14ac:dyDescent="0.2">
      <c r="B251" s="550" t="s">
        <v>338</v>
      </c>
      <c r="C251" s="269" t="s">
        <v>339</v>
      </c>
      <c r="D251" s="275">
        <v>0.3</v>
      </c>
      <c r="E251" s="251">
        <f>(1-D251)</f>
        <v>0.7</v>
      </c>
      <c r="F251" s="251">
        <f>D251</f>
        <v>0.3</v>
      </c>
      <c r="G251" s="668">
        <f>(1-F251)</f>
        <v>0.7</v>
      </c>
    </row>
    <row r="252" spans="2:7" x14ac:dyDescent="0.2">
      <c r="B252" s="550" t="s">
        <v>340</v>
      </c>
      <c r="C252" s="269" t="s">
        <v>329</v>
      </c>
      <c r="D252" s="276">
        <f>D251*$D$242</f>
        <v>32206.319999999996</v>
      </c>
      <c r="E252" s="276">
        <f>E251*$D$242</f>
        <v>75148.079999999987</v>
      </c>
      <c r="F252" s="276">
        <f>F251*$D$243</f>
        <v>21470.880000000001</v>
      </c>
      <c r="G252" s="669">
        <f>G251*$D$243</f>
        <v>50098.720000000001</v>
      </c>
    </row>
    <row r="253" spans="2:7" x14ac:dyDescent="0.2">
      <c r="B253" s="550" t="s">
        <v>341</v>
      </c>
      <c r="C253" s="269" t="s">
        <v>342</v>
      </c>
      <c r="D253" s="277">
        <f t="shared" ref="D253" si="10">ROUNDUP(D252/D254,0)</f>
        <v>41</v>
      </c>
      <c r="E253" s="277">
        <f>ROUNDUP(E252/E254,0)</f>
        <v>76</v>
      </c>
      <c r="F253" s="277">
        <f t="shared" ref="F253" si="11">ROUNDUP(F252/F254,0)</f>
        <v>29</v>
      </c>
      <c r="G253" s="670">
        <f>ROUNDUP(G252/G254,0)</f>
        <v>54</v>
      </c>
    </row>
    <row r="254" spans="2:7" x14ac:dyDescent="0.2">
      <c r="B254" s="550" t="s">
        <v>343</v>
      </c>
      <c r="C254" s="269" t="s">
        <v>329</v>
      </c>
      <c r="D254" s="277">
        <f>ROUNDUP(D256/D255,0)</f>
        <v>800</v>
      </c>
      <c r="E254" s="277">
        <f t="shared" ref="E254:G254" si="12">ROUNDUP(E256/E255,0)</f>
        <v>1000</v>
      </c>
      <c r="F254" s="277">
        <f t="shared" si="12"/>
        <v>765</v>
      </c>
      <c r="G254" s="670">
        <f t="shared" si="12"/>
        <v>942</v>
      </c>
    </row>
    <row r="255" spans="2:7" x14ac:dyDescent="0.2">
      <c r="B255" s="550" t="s">
        <v>344</v>
      </c>
      <c r="C255" s="269" t="s">
        <v>339</v>
      </c>
      <c r="D255" s="275">
        <v>0.85</v>
      </c>
      <c r="E255" s="275">
        <v>0.85</v>
      </c>
      <c r="F255" s="275">
        <v>0.85</v>
      </c>
      <c r="G255" s="671">
        <v>0.85</v>
      </c>
    </row>
    <row r="256" spans="2:7" x14ac:dyDescent="0.2">
      <c r="B256" s="550" t="s">
        <v>345</v>
      </c>
      <c r="C256" s="269" t="s">
        <v>329</v>
      </c>
      <c r="D256" s="278">
        <v>680</v>
      </c>
      <c r="E256" s="278">
        <v>850</v>
      </c>
      <c r="F256" s="278">
        <v>650</v>
      </c>
      <c r="G256" s="672">
        <v>800</v>
      </c>
    </row>
    <row r="257" spans="2:7" x14ac:dyDescent="0.2">
      <c r="B257" s="550" t="s">
        <v>346</v>
      </c>
      <c r="C257" s="269" t="s">
        <v>347</v>
      </c>
      <c r="D257" s="278">
        <v>10</v>
      </c>
      <c r="E257" s="278">
        <v>10</v>
      </c>
      <c r="F257" s="278">
        <v>10</v>
      </c>
      <c r="G257" s="672">
        <v>10</v>
      </c>
    </row>
    <row r="258" spans="2:7" x14ac:dyDescent="0.2">
      <c r="B258" s="566" t="s">
        <v>348</v>
      </c>
      <c r="D258" s="279"/>
      <c r="E258" s="279"/>
      <c r="F258" s="279"/>
      <c r="G258" s="673"/>
    </row>
    <row r="259" spans="2:7" x14ac:dyDescent="0.2">
      <c r="B259" s="550" t="s">
        <v>409</v>
      </c>
      <c r="C259" s="269" t="s">
        <v>410</v>
      </c>
      <c r="D259" s="280">
        <v>0.5</v>
      </c>
      <c r="E259" s="280">
        <v>0.5</v>
      </c>
      <c r="F259" s="280">
        <v>0.3</v>
      </c>
      <c r="G259" s="674">
        <v>0.3</v>
      </c>
    </row>
    <row r="260" spans="2:7" x14ac:dyDescent="0.2">
      <c r="B260" s="550" t="s">
        <v>411</v>
      </c>
      <c r="C260" s="269" t="s">
        <v>412</v>
      </c>
      <c r="D260" s="280">
        <v>1250</v>
      </c>
      <c r="E260" s="280">
        <v>1800</v>
      </c>
      <c r="F260" s="281">
        <f>D260*0.7</f>
        <v>875</v>
      </c>
      <c r="G260" s="675">
        <f>E260*0.7</f>
        <v>1260</v>
      </c>
    </row>
    <row r="261" spans="2:7" x14ac:dyDescent="0.2">
      <c r="B261" s="550" t="s">
        <v>411</v>
      </c>
      <c r="C261" s="269" t="s">
        <v>413</v>
      </c>
      <c r="D261" s="281">
        <f>D260/D256</f>
        <v>1.838235294117647</v>
      </c>
      <c r="E261" s="281">
        <f t="shared" ref="E261:G261" si="13">E260/E256</f>
        <v>2.1176470588235294</v>
      </c>
      <c r="F261" s="281">
        <f t="shared" si="13"/>
        <v>1.3461538461538463</v>
      </c>
      <c r="G261" s="675">
        <f t="shared" si="13"/>
        <v>1.575</v>
      </c>
    </row>
    <row r="262" spans="2:7" x14ac:dyDescent="0.2">
      <c r="B262" s="566" t="s">
        <v>157</v>
      </c>
      <c r="D262" s="279"/>
      <c r="E262" s="279"/>
      <c r="F262" s="279"/>
      <c r="G262" s="673"/>
    </row>
    <row r="263" spans="2:7" x14ac:dyDescent="0.2">
      <c r="B263" s="550" t="s">
        <v>272</v>
      </c>
      <c r="C263" s="269" t="s">
        <v>350</v>
      </c>
      <c r="D263" s="280">
        <v>110</v>
      </c>
      <c r="E263" s="280">
        <v>110</v>
      </c>
      <c r="F263" s="280">
        <v>105</v>
      </c>
      <c r="G263" s="674">
        <v>105</v>
      </c>
    </row>
    <row r="264" spans="2:7" x14ac:dyDescent="0.2">
      <c r="B264" s="566" t="s">
        <v>354</v>
      </c>
      <c r="D264" s="279"/>
      <c r="E264" s="279"/>
      <c r="F264" s="279"/>
      <c r="G264" s="673"/>
    </row>
    <row r="265" spans="2:7" x14ac:dyDescent="0.2">
      <c r="B265" s="550" t="s">
        <v>355</v>
      </c>
      <c r="C265" s="269" t="s">
        <v>339</v>
      </c>
      <c r="D265" s="275">
        <v>5.5E-2</v>
      </c>
      <c r="E265" s="275">
        <v>5.5E-2</v>
      </c>
      <c r="F265" s="275">
        <v>0.06</v>
      </c>
      <c r="G265" s="671">
        <v>0.06</v>
      </c>
    </row>
    <row r="266" spans="2:7" x14ac:dyDescent="0.2">
      <c r="B266" s="550" t="s">
        <v>72</v>
      </c>
      <c r="C266" s="269" t="s">
        <v>339</v>
      </c>
      <c r="D266" s="275">
        <v>0.9</v>
      </c>
      <c r="E266" s="275">
        <v>0.9</v>
      </c>
      <c r="F266" s="275">
        <v>0.85</v>
      </c>
      <c r="G266" s="671">
        <v>0.85</v>
      </c>
    </row>
    <row r="267" spans="2:7" x14ac:dyDescent="0.2">
      <c r="B267" s="550"/>
      <c r="G267" s="562"/>
    </row>
    <row r="268" spans="2:7" x14ac:dyDescent="0.2">
      <c r="B268" s="550"/>
      <c r="G268" s="562"/>
    </row>
    <row r="269" spans="2:7" x14ac:dyDescent="0.2">
      <c r="B269" s="651" t="s">
        <v>414</v>
      </c>
      <c r="C269" s="282"/>
      <c r="D269" s="282"/>
      <c r="E269" s="282"/>
      <c r="F269" s="282"/>
      <c r="G269" s="652"/>
    </row>
    <row r="270" spans="2:7" x14ac:dyDescent="0.2">
      <c r="B270" s="550"/>
      <c r="C270" s="269" t="s">
        <v>333</v>
      </c>
      <c r="D270" s="274" t="s">
        <v>415</v>
      </c>
      <c r="E270" s="274" t="s">
        <v>416</v>
      </c>
      <c r="F270" s="274" t="s">
        <v>417</v>
      </c>
      <c r="G270" s="562"/>
    </row>
    <row r="271" spans="2:7" x14ac:dyDescent="0.2">
      <c r="B271" s="566" t="s">
        <v>337</v>
      </c>
      <c r="F271" s="283"/>
      <c r="G271" s="562"/>
    </row>
    <row r="272" spans="2:7" x14ac:dyDescent="0.2">
      <c r="B272" s="550" t="s">
        <v>338</v>
      </c>
      <c r="C272" s="269" t="s">
        <v>339</v>
      </c>
      <c r="D272" s="284">
        <v>0.2</v>
      </c>
      <c r="E272" s="284">
        <v>0.6</v>
      </c>
      <c r="F272" s="188">
        <f>(1-D272-E272)</f>
        <v>0.20000000000000007</v>
      </c>
      <c r="G272" s="562"/>
    </row>
    <row r="273" spans="2:7" x14ac:dyDescent="0.2">
      <c r="B273" s="550" t="s">
        <v>340</v>
      </c>
      <c r="C273" s="269" t="s">
        <v>329</v>
      </c>
      <c r="D273" s="285">
        <f>D272*$D$244</f>
        <v>5715.8</v>
      </c>
      <c r="E273" s="285">
        <f t="shared" ref="E273:F273" si="14">E272*$D$244</f>
        <v>17147.399999999998</v>
      </c>
      <c r="F273" s="285">
        <f t="shared" si="14"/>
        <v>5715.800000000002</v>
      </c>
      <c r="G273" s="562"/>
    </row>
    <row r="274" spans="2:7" x14ac:dyDescent="0.2">
      <c r="B274" s="550" t="s">
        <v>359</v>
      </c>
      <c r="C274" s="269" t="s">
        <v>342</v>
      </c>
      <c r="D274" s="287">
        <v>2</v>
      </c>
      <c r="E274" s="303">
        <v>1</v>
      </c>
      <c r="F274" s="288">
        <v>2</v>
      </c>
      <c r="G274" s="562"/>
    </row>
    <row r="275" spans="2:7" x14ac:dyDescent="0.2">
      <c r="B275" s="550" t="s">
        <v>270</v>
      </c>
      <c r="C275" s="269" t="s">
        <v>339</v>
      </c>
      <c r="D275" s="284">
        <v>0.95</v>
      </c>
      <c r="E275" s="284">
        <v>0.95</v>
      </c>
      <c r="F275" s="284">
        <v>0.9</v>
      </c>
      <c r="G275" s="562"/>
    </row>
    <row r="276" spans="2:7" x14ac:dyDescent="0.2">
      <c r="B276" s="550" t="s">
        <v>70</v>
      </c>
      <c r="C276" s="269" t="s">
        <v>329</v>
      </c>
      <c r="D276" s="285">
        <f>D273*D275</f>
        <v>5430.01</v>
      </c>
      <c r="E276" s="285">
        <f>E273*E275</f>
        <v>16290.029999999997</v>
      </c>
      <c r="F276" s="285">
        <f>F273*F275</f>
        <v>5144.2200000000021</v>
      </c>
      <c r="G276" s="562"/>
    </row>
    <row r="277" spans="2:7" x14ac:dyDescent="0.2">
      <c r="B277" s="566" t="s">
        <v>360</v>
      </c>
      <c r="D277" s="286"/>
      <c r="G277" s="562"/>
    </row>
    <row r="278" spans="2:7" x14ac:dyDescent="0.2">
      <c r="B278" s="550" t="s">
        <v>278</v>
      </c>
      <c r="C278" s="269" t="s">
        <v>361</v>
      </c>
      <c r="D278" s="289">
        <v>4</v>
      </c>
      <c r="E278" s="289">
        <v>4</v>
      </c>
      <c r="F278" s="289">
        <v>4</v>
      </c>
      <c r="G278" s="562"/>
    </row>
    <row r="279" spans="2:7" x14ac:dyDescent="0.2">
      <c r="B279" s="550" t="s">
        <v>301</v>
      </c>
      <c r="C279" s="269" t="s">
        <v>350</v>
      </c>
      <c r="D279" s="289">
        <v>21.5</v>
      </c>
      <c r="E279" s="289">
        <v>15.15</v>
      </c>
      <c r="F279" s="289">
        <v>28</v>
      </c>
      <c r="G279" s="562"/>
    </row>
    <row r="280" spans="2:7" x14ac:dyDescent="0.2">
      <c r="B280" s="566" t="s">
        <v>157</v>
      </c>
      <c r="G280" s="562"/>
    </row>
    <row r="281" spans="2:7" x14ac:dyDescent="0.2">
      <c r="B281" s="550" t="s">
        <v>272</v>
      </c>
      <c r="C281" s="269" t="s">
        <v>350</v>
      </c>
      <c r="D281" s="289">
        <v>120</v>
      </c>
      <c r="E281" s="289">
        <v>120</v>
      </c>
      <c r="F281" s="289">
        <v>120</v>
      </c>
      <c r="G281" s="562"/>
    </row>
    <row r="282" spans="2:7" x14ac:dyDescent="0.2">
      <c r="B282" s="566" t="s">
        <v>354</v>
      </c>
      <c r="G282" s="562"/>
    </row>
    <row r="283" spans="2:7" x14ac:dyDescent="0.2">
      <c r="B283" s="550" t="s">
        <v>355</v>
      </c>
      <c r="C283" s="269" t="s">
        <v>339</v>
      </c>
      <c r="D283" s="284">
        <v>6.3E-2</v>
      </c>
      <c r="E283" s="284">
        <v>6.3E-2</v>
      </c>
      <c r="F283" s="284">
        <v>0.06</v>
      </c>
      <c r="G283" s="562"/>
    </row>
    <row r="284" spans="2:7" x14ac:dyDescent="0.2">
      <c r="B284" s="550" t="s">
        <v>72</v>
      </c>
      <c r="C284" s="269" t="s">
        <v>339</v>
      </c>
      <c r="D284" s="284">
        <v>0.75</v>
      </c>
      <c r="E284" s="284">
        <v>0.75</v>
      </c>
      <c r="F284" s="284">
        <v>0.75</v>
      </c>
      <c r="G284" s="562"/>
    </row>
    <row r="285" spans="2:7" x14ac:dyDescent="0.2">
      <c r="B285" s="550" t="s">
        <v>279</v>
      </c>
      <c r="C285" s="269" t="s">
        <v>339</v>
      </c>
      <c r="D285" s="284">
        <v>4.4999999999999998E-2</v>
      </c>
      <c r="E285" s="284">
        <v>3.5999999999999997E-2</v>
      </c>
      <c r="F285" s="284">
        <v>4.4999999999999998E-2</v>
      </c>
      <c r="G285" s="562"/>
    </row>
    <row r="286" spans="2:7" x14ac:dyDescent="0.2">
      <c r="B286" s="550"/>
      <c r="G286" s="562"/>
    </row>
    <row r="287" spans="2:7" x14ac:dyDescent="0.2">
      <c r="B287" s="659" t="s">
        <v>364</v>
      </c>
      <c r="C287" s="294"/>
      <c r="D287" s="294"/>
      <c r="E287" s="294"/>
      <c r="F287" s="294"/>
      <c r="G287" s="660"/>
    </row>
    <row r="288" spans="2:7" x14ac:dyDescent="0.2">
      <c r="B288" s="550"/>
      <c r="C288" s="269" t="s">
        <v>333</v>
      </c>
      <c r="D288" s="269" t="s">
        <v>418</v>
      </c>
      <c r="E288" s="269" t="s">
        <v>61</v>
      </c>
      <c r="G288" s="562"/>
    </row>
    <row r="289" spans="2:7" x14ac:dyDescent="0.2">
      <c r="B289" s="566" t="s">
        <v>337</v>
      </c>
      <c r="G289" s="562"/>
    </row>
    <row r="290" spans="2:7" x14ac:dyDescent="0.2">
      <c r="B290" s="550" t="s">
        <v>366</v>
      </c>
      <c r="C290" s="295" t="s">
        <v>329</v>
      </c>
      <c r="D290" s="285">
        <f>D291*(D253+E253+F253+G253)</f>
        <v>40000</v>
      </c>
      <c r="E290" s="285">
        <f>D245-D290</f>
        <v>17158</v>
      </c>
      <c r="G290" s="562"/>
    </row>
    <row r="291" spans="2:7" x14ac:dyDescent="0.2">
      <c r="B291" s="550" t="s">
        <v>367</v>
      </c>
      <c r="C291" s="269" t="s">
        <v>329</v>
      </c>
      <c r="D291" s="287">
        <v>200</v>
      </c>
      <c r="E291" s="287">
        <v>200</v>
      </c>
      <c r="G291" s="562"/>
    </row>
    <row r="292" spans="2:7" x14ac:dyDescent="0.2">
      <c r="B292" s="550" t="s">
        <v>368</v>
      </c>
      <c r="C292" s="269" t="s">
        <v>342</v>
      </c>
      <c r="D292" s="285">
        <f>ROUNDUP(D290/D291,0)</f>
        <v>200</v>
      </c>
      <c r="E292" s="285">
        <f>ROUNDUP(E290/E291,0)</f>
        <v>86</v>
      </c>
      <c r="G292" s="562"/>
    </row>
    <row r="293" spans="2:7" x14ac:dyDescent="0.2">
      <c r="B293" s="550" t="s">
        <v>369</v>
      </c>
      <c r="C293" s="269" t="s">
        <v>342</v>
      </c>
      <c r="D293" s="285">
        <f>0.1*(SUM(D292:F292))</f>
        <v>28.6</v>
      </c>
      <c r="E293" s="285"/>
      <c r="F293" s="285"/>
      <c r="G293" s="562"/>
    </row>
    <row r="294" spans="2:7" x14ac:dyDescent="0.2">
      <c r="B294" s="566" t="s">
        <v>360</v>
      </c>
      <c r="C294" s="269" t="s">
        <v>352</v>
      </c>
      <c r="G294" s="562"/>
    </row>
    <row r="295" spans="2:7" x14ac:dyDescent="0.2">
      <c r="B295" s="550" t="s">
        <v>302</v>
      </c>
      <c r="C295" s="269" t="s">
        <v>361</v>
      </c>
      <c r="D295" s="289">
        <v>0.5</v>
      </c>
      <c r="E295" s="289">
        <v>0.5</v>
      </c>
      <c r="G295" s="562"/>
    </row>
    <row r="296" spans="2:7" x14ac:dyDescent="0.2">
      <c r="B296" s="550" t="s">
        <v>370</v>
      </c>
      <c r="C296" s="269" t="s">
        <v>371</v>
      </c>
      <c r="D296" s="289">
        <v>180</v>
      </c>
      <c r="E296" s="289">
        <v>180</v>
      </c>
      <c r="G296" s="562"/>
    </row>
    <row r="297" spans="2:7" x14ac:dyDescent="0.2">
      <c r="B297" s="550" t="s">
        <v>373</v>
      </c>
      <c r="C297" s="269" t="s">
        <v>374</v>
      </c>
      <c r="D297" s="289">
        <v>2</v>
      </c>
      <c r="E297" s="289">
        <v>2</v>
      </c>
      <c r="G297" s="562"/>
    </row>
    <row r="298" spans="2:7" x14ac:dyDescent="0.2">
      <c r="B298" s="566" t="s">
        <v>354</v>
      </c>
      <c r="G298" s="562"/>
    </row>
    <row r="299" spans="2:7" x14ac:dyDescent="0.2">
      <c r="B299" s="550" t="s">
        <v>375</v>
      </c>
      <c r="C299" s="269" t="s">
        <v>339</v>
      </c>
      <c r="D299" s="293">
        <v>0.75</v>
      </c>
      <c r="E299" s="293">
        <v>0.6</v>
      </c>
      <c r="G299" s="562"/>
    </row>
    <row r="300" spans="2:7" x14ac:dyDescent="0.2">
      <c r="B300" s="566" t="s">
        <v>157</v>
      </c>
      <c r="G300" s="562"/>
    </row>
    <row r="301" spans="2:7" x14ac:dyDescent="0.2">
      <c r="B301" s="550" t="s">
        <v>272</v>
      </c>
      <c r="C301" s="269" t="s">
        <v>350</v>
      </c>
      <c r="D301" s="289">
        <v>100</v>
      </c>
      <c r="E301" s="289">
        <v>100</v>
      </c>
      <c r="G301" s="562"/>
    </row>
    <row r="302" spans="2:7" x14ac:dyDescent="0.2">
      <c r="B302" s="550"/>
      <c r="G302" s="562"/>
    </row>
    <row r="303" spans="2:7" x14ac:dyDescent="0.2">
      <c r="B303" s="661" t="s">
        <v>376</v>
      </c>
      <c r="C303" s="296"/>
      <c r="D303" s="296"/>
      <c r="E303" s="296"/>
      <c r="F303" s="296"/>
      <c r="G303" s="662"/>
    </row>
    <row r="304" spans="2:7" x14ac:dyDescent="0.2">
      <c r="B304" s="566" t="s">
        <v>337</v>
      </c>
      <c r="G304" s="562"/>
    </row>
    <row r="305" spans="2:7" x14ac:dyDescent="0.2">
      <c r="B305" s="550" t="s">
        <v>171</v>
      </c>
      <c r="C305" s="269" t="s">
        <v>342</v>
      </c>
      <c r="D305" s="288">
        <v>50</v>
      </c>
      <c r="G305" s="562"/>
    </row>
    <row r="306" spans="2:7" x14ac:dyDescent="0.2">
      <c r="B306" s="550" t="s">
        <v>419</v>
      </c>
      <c r="C306" s="269" t="s">
        <v>329</v>
      </c>
      <c r="D306" s="271">
        <f>I8</f>
        <v>57511.9</v>
      </c>
      <c r="E306" s="269" t="s">
        <v>420</v>
      </c>
      <c r="G306" s="562"/>
    </row>
    <row r="307" spans="2:7" x14ac:dyDescent="0.2">
      <c r="B307" s="550" t="s">
        <v>428</v>
      </c>
      <c r="C307" s="269" t="s">
        <v>329</v>
      </c>
      <c r="D307" s="271">
        <f>D240</f>
        <v>45035.9</v>
      </c>
      <c r="E307" s="269" t="s">
        <v>420</v>
      </c>
      <c r="G307" s="562"/>
    </row>
    <row r="308" spans="2:7" x14ac:dyDescent="0.2">
      <c r="B308" s="550" t="s">
        <v>381</v>
      </c>
      <c r="C308" s="269" t="s">
        <v>379</v>
      </c>
      <c r="D308" s="293">
        <v>0.3</v>
      </c>
      <c r="E308" s="269" t="s">
        <v>380</v>
      </c>
      <c r="G308" s="562"/>
    </row>
    <row r="309" spans="2:7" x14ac:dyDescent="0.2">
      <c r="B309" s="550" t="s">
        <v>381</v>
      </c>
      <c r="C309" s="269" t="s">
        <v>329</v>
      </c>
      <c r="D309" s="271">
        <f>(D306+D307)*D308</f>
        <v>30764.34</v>
      </c>
      <c r="G309" s="562"/>
    </row>
    <row r="310" spans="2:7" x14ac:dyDescent="0.2">
      <c r="B310" s="550" t="s">
        <v>422</v>
      </c>
      <c r="C310" s="269" t="s">
        <v>329</v>
      </c>
      <c r="D310" s="271">
        <f>[2]Massing!C66</f>
        <v>3884</v>
      </c>
      <c r="G310" s="562"/>
    </row>
    <row r="311" spans="2:7" x14ac:dyDescent="0.2">
      <c r="B311" s="550" t="s">
        <v>169</v>
      </c>
      <c r="C311" s="269" t="s">
        <v>329</v>
      </c>
      <c r="D311" s="271">
        <f>[2]Massing!C63+[2]Massing!C73</f>
        <v>21683</v>
      </c>
      <c r="G311" s="562"/>
    </row>
    <row r="312" spans="2:7" x14ac:dyDescent="0.2">
      <c r="B312" s="550"/>
      <c r="G312" s="562"/>
    </row>
    <row r="313" spans="2:7" x14ac:dyDescent="0.2">
      <c r="B313" s="629" t="s">
        <v>138</v>
      </c>
      <c r="C313" s="270"/>
      <c r="D313" s="268" t="s">
        <v>152</v>
      </c>
      <c r="E313" s="270"/>
      <c r="F313" s="270"/>
      <c r="G313" s="676"/>
    </row>
    <row r="314" spans="2:7" x14ac:dyDescent="0.2">
      <c r="B314" s="550"/>
      <c r="G314" s="562"/>
    </row>
    <row r="315" spans="2:7" x14ac:dyDescent="0.2">
      <c r="B315" s="550" t="s">
        <v>424</v>
      </c>
      <c r="C315" s="269" t="s">
        <v>329</v>
      </c>
      <c r="D315" s="271">
        <f>D9</f>
        <v>86994</v>
      </c>
      <c r="G315" s="562"/>
    </row>
    <row r="316" spans="2:7" x14ac:dyDescent="0.2">
      <c r="B316" s="550" t="s">
        <v>635</v>
      </c>
      <c r="C316" s="269" t="s">
        <v>329</v>
      </c>
      <c r="D316" s="271">
        <f>Massing!E80+Massing!E81</f>
        <v>47792</v>
      </c>
      <c r="E316" s="269" t="s">
        <v>429</v>
      </c>
      <c r="G316" s="562"/>
    </row>
    <row r="317" spans="2:7" x14ac:dyDescent="0.2">
      <c r="B317" s="550" t="s">
        <v>404</v>
      </c>
      <c r="C317" s="269" t="s">
        <v>329</v>
      </c>
      <c r="D317" s="271">
        <f>D316*0.6</f>
        <v>28675.200000000001</v>
      </c>
      <c r="G317" s="562"/>
    </row>
    <row r="318" spans="2:7" x14ac:dyDescent="0.2">
      <c r="B318" s="550" t="s">
        <v>405</v>
      </c>
      <c r="C318" s="269" t="s">
        <v>329</v>
      </c>
      <c r="D318" s="271">
        <f>D316*0.4</f>
        <v>19116.8</v>
      </c>
      <c r="E318" s="269" t="s">
        <v>429</v>
      </c>
      <c r="G318" s="562"/>
    </row>
    <row r="319" spans="2:7" x14ac:dyDescent="0.2">
      <c r="B319" s="550" t="s">
        <v>430</v>
      </c>
      <c r="C319" s="269" t="s">
        <v>329</v>
      </c>
      <c r="D319" s="271">
        <v>185000</v>
      </c>
      <c r="E319" s="269" t="s">
        <v>431</v>
      </c>
      <c r="G319" s="562"/>
    </row>
    <row r="320" spans="2:7" x14ac:dyDescent="0.2">
      <c r="B320" s="550" t="s">
        <v>406</v>
      </c>
      <c r="C320" s="269" t="s">
        <v>329</v>
      </c>
      <c r="D320" s="271">
        <v>31114</v>
      </c>
      <c r="G320" s="562"/>
    </row>
    <row r="321" spans="2:7" x14ac:dyDescent="0.2">
      <c r="B321" s="550" t="s">
        <v>385</v>
      </c>
      <c r="C321" s="269" t="s">
        <v>329</v>
      </c>
      <c r="D321" s="271">
        <v>93342</v>
      </c>
      <c r="G321" s="562"/>
    </row>
    <row r="322" spans="2:7" x14ac:dyDescent="0.2">
      <c r="B322" s="550"/>
      <c r="G322" s="562"/>
    </row>
    <row r="323" spans="2:7" x14ac:dyDescent="0.2">
      <c r="B323" s="649" t="s">
        <v>427</v>
      </c>
      <c r="C323" s="272"/>
      <c r="D323" s="272"/>
      <c r="E323" s="272"/>
      <c r="F323" s="272"/>
      <c r="G323" s="650"/>
    </row>
    <row r="324" spans="2:7" x14ac:dyDescent="0.2">
      <c r="B324" s="127"/>
      <c r="C324" s="1"/>
      <c r="D324" s="302" t="s">
        <v>408</v>
      </c>
      <c r="E324" s="302"/>
      <c r="F324" s="302" t="s">
        <v>9</v>
      </c>
      <c r="G324" s="666"/>
    </row>
    <row r="325" spans="2:7" x14ac:dyDescent="0.2">
      <c r="B325" s="550"/>
      <c r="C325" s="269" t="s">
        <v>333</v>
      </c>
      <c r="D325" s="273" t="s">
        <v>335</v>
      </c>
      <c r="E325" s="273" t="s">
        <v>336</v>
      </c>
      <c r="F325" s="273" t="s">
        <v>335</v>
      </c>
      <c r="G325" s="667" t="s">
        <v>336</v>
      </c>
    </row>
    <row r="326" spans="2:7" x14ac:dyDescent="0.2">
      <c r="B326" s="566" t="s">
        <v>337</v>
      </c>
      <c r="D326" s="273"/>
      <c r="E326" s="273"/>
      <c r="G326" s="562"/>
    </row>
    <row r="327" spans="2:7" x14ac:dyDescent="0.2">
      <c r="B327" s="550" t="s">
        <v>338</v>
      </c>
      <c r="C327" s="269" t="s">
        <v>339</v>
      </c>
      <c r="D327" s="275">
        <v>0.3</v>
      </c>
      <c r="E327" s="251">
        <f>(1-D327)</f>
        <v>0.7</v>
      </c>
      <c r="F327" s="251">
        <f>D327</f>
        <v>0.3</v>
      </c>
      <c r="G327" s="668">
        <f>(1-F327)</f>
        <v>0.7</v>
      </c>
    </row>
    <row r="328" spans="2:7" x14ac:dyDescent="0.2">
      <c r="B328" s="550" t="s">
        <v>340</v>
      </c>
      <c r="C328" s="269" t="s">
        <v>329</v>
      </c>
      <c r="D328" s="276">
        <f>D327*$D$317</f>
        <v>8602.56</v>
      </c>
      <c r="E328" s="276">
        <f>E327*$D$317</f>
        <v>20072.64</v>
      </c>
      <c r="F328" s="276">
        <f>F327*$D$318</f>
        <v>5735.04</v>
      </c>
      <c r="G328" s="669">
        <f>G327*$D$318</f>
        <v>13381.759999999998</v>
      </c>
    </row>
    <row r="329" spans="2:7" x14ac:dyDescent="0.2">
      <c r="B329" s="550" t="s">
        <v>341</v>
      </c>
      <c r="C329" s="269" t="s">
        <v>342</v>
      </c>
      <c r="D329" s="277">
        <f t="shared" ref="D329" si="15">ROUNDUP(D328/D330,0)</f>
        <v>11</v>
      </c>
      <c r="E329" s="277">
        <f>ROUNDUP(E328/E330,0)</f>
        <v>21</v>
      </c>
      <c r="F329" s="277">
        <f t="shared" ref="F329" si="16">ROUNDUP(F328/F330,0)</f>
        <v>8</v>
      </c>
      <c r="G329" s="670">
        <f>ROUNDUP(G328/G330,0)</f>
        <v>15</v>
      </c>
    </row>
    <row r="330" spans="2:7" x14ac:dyDescent="0.2">
      <c r="B330" s="550" t="s">
        <v>343</v>
      </c>
      <c r="C330" s="269" t="s">
        <v>329</v>
      </c>
      <c r="D330" s="277">
        <f>ROUNDUP(D332/D331,0)</f>
        <v>800</v>
      </c>
      <c r="E330" s="277">
        <f t="shared" ref="E330:G330" si="17">ROUNDUP(E332/E331,0)</f>
        <v>1000</v>
      </c>
      <c r="F330" s="277">
        <f t="shared" si="17"/>
        <v>765</v>
      </c>
      <c r="G330" s="670">
        <f t="shared" si="17"/>
        <v>942</v>
      </c>
    </row>
    <row r="331" spans="2:7" x14ac:dyDescent="0.2">
      <c r="B331" s="550" t="s">
        <v>344</v>
      </c>
      <c r="C331" s="269" t="s">
        <v>339</v>
      </c>
      <c r="D331" s="275">
        <v>0.85</v>
      </c>
      <c r="E331" s="275">
        <v>0.85</v>
      </c>
      <c r="F331" s="275">
        <v>0.85</v>
      </c>
      <c r="G331" s="671">
        <v>0.85</v>
      </c>
    </row>
    <row r="332" spans="2:7" x14ac:dyDescent="0.2">
      <c r="B332" s="550" t="s">
        <v>345</v>
      </c>
      <c r="C332" s="269" t="s">
        <v>329</v>
      </c>
      <c r="D332" s="278">
        <v>680</v>
      </c>
      <c r="E332" s="278">
        <v>850</v>
      </c>
      <c r="F332" s="278">
        <v>650</v>
      </c>
      <c r="G332" s="672">
        <v>800</v>
      </c>
    </row>
    <row r="333" spans="2:7" x14ac:dyDescent="0.2">
      <c r="B333" s="550" t="s">
        <v>346</v>
      </c>
      <c r="C333" s="269" t="s">
        <v>347</v>
      </c>
      <c r="D333" s="278">
        <v>10</v>
      </c>
      <c r="E333" s="278">
        <v>10</v>
      </c>
      <c r="F333" s="278">
        <v>10</v>
      </c>
      <c r="G333" s="672">
        <v>10</v>
      </c>
    </row>
    <row r="334" spans="2:7" x14ac:dyDescent="0.2">
      <c r="B334" s="566" t="s">
        <v>348</v>
      </c>
      <c r="D334" s="279"/>
      <c r="E334" s="279"/>
      <c r="F334" s="279"/>
      <c r="G334" s="673"/>
    </row>
    <row r="335" spans="2:7" x14ac:dyDescent="0.2">
      <c r="B335" s="550" t="s">
        <v>409</v>
      </c>
      <c r="C335" s="269" t="s">
        <v>410</v>
      </c>
      <c r="D335" s="280">
        <v>0.5</v>
      </c>
      <c r="E335" s="280">
        <v>0.5</v>
      </c>
      <c r="F335" s="280">
        <v>0.3</v>
      </c>
      <c r="G335" s="674">
        <v>0.3</v>
      </c>
    </row>
    <row r="336" spans="2:7" x14ac:dyDescent="0.2">
      <c r="B336" s="550" t="s">
        <v>411</v>
      </c>
      <c r="C336" s="269" t="s">
        <v>412</v>
      </c>
      <c r="D336" s="280">
        <v>1250</v>
      </c>
      <c r="E336" s="280">
        <v>1800</v>
      </c>
      <c r="F336" s="281">
        <f>D336*0.7</f>
        <v>875</v>
      </c>
      <c r="G336" s="675">
        <f>E336*0.7</f>
        <v>1260</v>
      </c>
    </row>
    <row r="337" spans="2:7" x14ac:dyDescent="0.2">
      <c r="B337" s="550" t="s">
        <v>411</v>
      </c>
      <c r="C337" s="269" t="s">
        <v>413</v>
      </c>
      <c r="D337" s="281">
        <f>D336/D332</f>
        <v>1.838235294117647</v>
      </c>
      <c r="E337" s="281">
        <f t="shared" ref="E337:G337" si="18">E336/E332</f>
        <v>2.1176470588235294</v>
      </c>
      <c r="F337" s="281">
        <f t="shared" si="18"/>
        <v>1.3461538461538463</v>
      </c>
      <c r="G337" s="675">
        <f t="shared" si="18"/>
        <v>1.575</v>
      </c>
    </row>
    <row r="338" spans="2:7" x14ac:dyDescent="0.2">
      <c r="B338" s="566" t="s">
        <v>157</v>
      </c>
      <c r="D338" s="279"/>
      <c r="E338" s="279"/>
      <c r="F338" s="279"/>
      <c r="G338" s="673"/>
    </row>
    <row r="339" spans="2:7" x14ac:dyDescent="0.2">
      <c r="B339" s="550" t="s">
        <v>272</v>
      </c>
      <c r="C339" s="269" t="s">
        <v>350</v>
      </c>
      <c r="D339" s="280">
        <v>110</v>
      </c>
      <c r="E339" s="280">
        <v>110</v>
      </c>
      <c r="F339" s="280">
        <v>105</v>
      </c>
      <c r="G339" s="674">
        <v>105</v>
      </c>
    </row>
    <row r="340" spans="2:7" x14ac:dyDescent="0.2">
      <c r="B340" s="566" t="s">
        <v>354</v>
      </c>
      <c r="D340" s="279"/>
      <c r="E340" s="279"/>
      <c r="F340" s="279"/>
      <c r="G340" s="673"/>
    </row>
    <row r="341" spans="2:7" x14ac:dyDescent="0.2">
      <c r="B341" s="550" t="s">
        <v>355</v>
      </c>
      <c r="C341" s="269" t="s">
        <v>339</v>
      </c>
      <c r="D341" s="275">
        <v>5.5E-2</v>
      </c>
      <c r="E341" s="275">
        <v>5.5E-2</v>
      </c>
      <c r="F341" s="275">
        <v>0.06</v>
      </c>
      <c r="G341" s="671">
        <v>0.06</v>
      </c>
    </row>
    <row r="342" spans="2:7" x14ac:dyDescent="0.2">
      <c r="B342" s="550" t="s">
        <v>72</v>
      </c>
      <c r="C342" s="269" t="s">
        <v>339</v>
      </c>
      <c r="D342" s="275">
        <v>0.85</v>
      </c>
      <c r="E342" s="275">
        <v>0.85</v>
      </c>
      <c r="F342" s="275">
        <v>0.85</v>
      </c>
      <c r="G342" s="671">
        <v>0.85</v>
      </c>
    </row>
    <row r="343" spans="2:7" x14ac:dyDescent="0.2">
      <c r="B343" s="550"/>
      <c r="G343" s="562"/>
    </row>
    <row r="344" spans="2:7" x14ac:dyDescent="0.2">
      <c r="B344" s="649" t="s">
        <v>432</v>
      </c>
      <c r="C344" s="272"/>
      <c r="D344" s="272"/>
      <c r="E344" s="272"/>
      <c r="F344" s="272"/>
      <c r="G344" s="650"/>
    </row>
    <row r="345" spans="2:7" x14ac:dyDescent="0.2">
      <c r="B345" s="550"/>
      <c r="C345" s="269" t="s">
        <v>333</v>
      </c>
      <c r="D345" s="273" t="s">
        <v>334</v>
      </c>
      <c r="E345" s="273" t="s">
        <v>335</v>
      </c>
      <c r="F345" s="273" t="s">
        <v>336</v>
      </c>
      <c r="G345" s="562"/>
    </row>
    <row r="346" spans="2:7" x14ac:dyDescent="0.2">
      <c r="B346" s="566" t="s">
        <v>337</v>
      </c>
      <c r="E346" s="273"/>
      <c r="F346" s="273"/>
      <c r="G346" s="562"/>
    </row>
    <row r="347" spans="2:7" x14ac:dyDescent="0.2">
      <c r="B347" s="550" t="s">
        <v>338</v>
      </c>
      <c r="C347" s="269" t="s">
        <v>339</v>
      </c>
      <c r="D347" s="275">
        <v>0.15</v>
      </c>
      <c r="E347" s="275">
        <v>0.45</v>
      </c>
      <c r="F347" s="251">
        <f>(1-E347-D347)</f>
        <v>0.4</v>
      </c>
      <c r="G347" s="562"/>
    </row>
    <row r="348" spans="2:7" x14ac:dyDescent="0.2">
      <c r="B348" s="550" t="s">
        <v>340</v>
      </c>
      <c r="C348" s="269" t="s">
        <v>329</v>
      </c>
      <c r="D348" s="276">
        <f>D347*$D$319</f>
        <v>27750</v>
      </c>
      <c r="E348" s="276">
        <f t="shared" ref="E348:F348" si="19">E347*$D$319</f>
        <v>83250</v>
      </c>
      <c r="F348" s="276">
        <f t="shared" si="19"/>
        <v>74000</v>
      </c>
      <c r="G348" s="562"/>
    </row>
    <row r="349" spans="2:7" x14ac:dyDescent="0.2">
      <c r="B349" s="550" t="s">
        <v>341</v>
      </c>
      <c r="C349" s="269" t="s">
        <v>342</v>
      </c>
      <c r="D349" s="277">
        <f t="shared" ref="D349:E349" si="20">ROUNDUP(D348/D350,0)</f>
        <v>47</v>
      </c>
      <c r="E349" s="277">
        <f t="shared" si="20"/>
        <v>111</v>
      </c>
      <c r="F349" s="277">
        <f>ROUNDUP(F348/F350,0)</f>
        <v>71</v>
      </c>
      <c r="G349" s="562"/>
    </row>
    <row r="350" spans="2:7" x14ac:dyDescent="0.2">
      <c r="B350" s="550" t="s">
        <v>343</v>
      </c>
      <c r="C350" s="269" t="s">
        <v>329</v>
      </c>
      <c r="D350" s="278">
        <v>600</v>
      </c>
      <c r="E350" s="278">
        <v>750</v>
      </c>
      <c r="F350" s="278">
        <v>1050</v>
      </c>
      <c r="G350" s="562"/>
    </row>
    <row r="351" spans="2:7" x14ac:dyDescent="0.2">
      <c r="B351" s="550" t="s">
        <v>344</v>
      </c>
      <c r="C351" s="269" t="s">
        <v>339</v>
      </c>
      <c r="D351" s="275">
        <v>0.8</v>
      </c>
      <c r="E351" s="275">
        <v>0.8</v>
      </c>
      <c r="F351" s="275">
        <v>0.8</v>
      </c>
      <c r="G351" s="562"/>
    </row>
    <row r="352" spans="2:7" x14ac:dyDescent="0.2">
      <c r="B352" s="550" t="s">
        <v>345</v>
      </c>
      <c r="C352" s="269" t="s">
        <v>329</v>
      </c>
      <c r="D352" s="277">
        <f>D350*D351</f>
        <v>480</v>
      </c>
      <c r="E352" s="277">
        <f>E350*E351</f>
        <v>600</v>
      </c>
      <c r="F352" s="277">
        <f>F350*F351</f>
        <v>840</v>
      </c>
      <c r="G352" s="562"/>
    </row>
    <row r="353" spans="2:7" x14ac:dyDescent="0.2">
      <c r="B353" s="550" t="s">
        <v>346</v>
      </c>
      <c r="C353" s="269" t="s">
        <v>347</v>
      </c>
      <c r="D353" s="278">
        <v>10</v>
      </c>
      <c r="E353" s="278">
        <v>10</v>
      </c>
      <c r="F353" s="278">
        <v>10</v>
      </c>
      <c r="G353" s="562"/>
    </row>
    <row r="354" spans="2:7" x14ac:dyDescent="0.2">
      <c r="B354" s="566" t="s">
        <v>348</v>
      </c>
      <c r="D354" s="279"/>
      <c r="E354" s="279"/>
      <c r="F354" s="279"/>
      <c r="G354" s="562"/>
    </row>
    <row r="355" spans="2:7" x14ac:dyDescent="0.2">
      <c r="B355" s="550" t="s">
        <v>349</v>
      </c>
      <c r="C355" s="269" t="s">
        <v>350</v>
      </c>
      <c r="D355" s="280">
        <v>200</v>
      </c>
      <c r="E355" s="280">
        <v>225</v>
      </c>
      <c r="F355" s="280">
        <v>250</v>
      </c>
      <c r="G355" s="562"/>
    </row>
    <row r="356" spans="2:7" x14ac:dyDescent="0.2">
      <c r="B356" s="550" t="s">
        <v>351</v>
      </c>
      <c r="C356" s="269" t="s">
        <v>352</v>
      </c>
      <c r="D356" s="281">
        <f>D350*D355</f>
        <v>120000</v>
      </c>
      <c r="E356" s="281">
        <f>E350*E355</f>
        <v>168750</v>
      </c>
      <c r="F356" s="281">
        <f>F350*F355</f>
        <v>262500</v>
      </c>
      <c r="G356" s="562"/>
    </row>
    <row r="357" spans="2:7" x14ac:dyDescent="0.2">
      <c r="B357" s="550" t="s">
        <v>353</v>
      </c>
      <c r="C357" s="269" t="s">
        <v>339</v>
      </c>
      <c r="D357" s="275">
        <v>0.04</v>
      </c>
      <c r="E357" s="275">
        <v>0.05</v>
      </c>
      <c r="F357" s="275">
        <v>0.08</v>
      </c>
      <c r="G357" s="562"/>
    </row>
    <row r="358" spans="2:7" x14ac:dyDescent="0.2">
      <c r="B358" s="566" t="s">
        <v>157</v>
      </c>
      <c r="D358" s="279"/>
      <c r="E358" s="279"/>
      <c r="F358" s="279"/>
      <c r="G358" s="562"/>
    </row>
    <row r="359" spans="2:7" x14ac:dyDescent="0.2">
      <c r="B359" s="550" t="s">
        <v>272</v>
      </c>
      <c r="C359" s="269" t="s">
        <v>350</v>
      </c>
      <c r="D359" s="280">
        <v>130</v>
      </c>
      <c r="E359" s="280">
        <v>130</v>
      </c>
      <c r="F359" s="280">
        <v>130</v>
      </c>
      <c r="G359" s="562"/>
    </row>
    <row r="360" spans="2:7" x14ac:dyDescent="0.2">
      <c r="B360" s="566" t="s">
        <v>354</v>
      </c>
      <c r="D360" s="279"/>
      <c r="E360" s="279"/>
      <c r="F360" s="279"/>
      <c r="G360" s="562"/>
    </row>
    <row r="361" spans="2:7" x14ac:dyDescent="0.2">
      <c r="B361" s="550" t="s">
        <v>355</v>
      </c>
      <c r="C361" s="269" t="s">
        <v>339</v>
      </c>
      <c r="D361" s="275">
        <v>5.8000000000000003E-2</v>
      </c>
      <c r="E361" s="275">
        <v>5.8000000000000003E-2</v>
      </c>
      <c r="F361" s="275">
        <v>5.8000000000000003E-2</v>
      </c>
      <c r="G361" s="562"/>
    </row>
    <row r="362" spans="2:7" x14ac:dyDescent="0.2">
      <c r="B362" s="550"/>
      <c r="G362" s="562"/>
    </row>
    <row r="363" spans="2:7" x14ac:dyDescent="0.2">
      <c r="B363" s="651" t="s">
        <v>414</v>
      </c>
      <c r="C363" s="282"/>
      <c r="D363" s="282"/>
      <c r="E363" s="282"/>
      <c r="F363" s="282"/>
      <c r="G363" s="652"/>
    </row>
    <row r="364" spans="2:7" x14ac:dyDescent="0.2">
      <c r="B364" s="550"/>
      <c r="C364" s="269" t="s">
        <v>333</v>
      </c>
      <c r="D364" s="274" t="s">
        <v>415</v>
      </c>
      <c r="E364" s="274" t="s">
        <v>416</v>
      </c>
      <c r="F364" s="274" t="s">
        <v>417</v>
      </c>
      <c r="G364" s="562"/>
    </row>
    <row r="365" spans="2:7" x14ac:dyDescent="0.2">
      <c r="B365" s="566" t="s">
        <v>337</v>
      </c>
      <c r="F365" s="283"/>
      <c r="G365" s="562"/>
    </row>
    <row r="366" spans="2:7" x14ac:dyDescent="0.2">
      <c r="B366" s="550" t="s">
        <v>338</v>
      </c>
      <c r="C366" s="269" t="s">
        <v>339</v>
      </c>
      <c r="D366" s="284">
        <v>0.2</v>
      </c>
      <c r="E366" s="284">
        <v>0.6</v>
      </c>
      <c r="F366" s="188">
        <f>(1-D366-E366)</f>
        <v>0.20000000000000007</v>
      </c>
      <c r="G366" s="562"/>
    </row>
    <row r="367" spans="2:7" x14ac:dyDescent="0.2">
      <c r="B367" s="550" t="s">
        <v>340</v>
      </c>
      <c r="C367" s="269" t="s">
        <v>329</v>
      </c>
      <c r="D367" s="285">
        <f>D366*$D$320</f>
        <v>6222.8</v>
      </c>
      <c r="E367" s="285">
        <f t="shared" ref="E367:F367" si="21">E366*$D$320</f>
        <v>18668.399999999998</v>
      </c>
      <c r="F367" s="285">
        <f t="shared" si="21"/>
        <v>6222.800000000002</v>
      </c>
      <c r="G367" s="562"/>
    </row>
    <row r="368" spans="2:7" x14ac:dyDescent="0.2">
      <c r="B368" s="550" t="s">
        <v>359</v>
      </c>
      <c r="C368" s="269" t="s">
        <v>342</v>
      </c>
      <c r="D368" s="287">
        <v>2</v>
      </c>
      <c r="E368" s="303">
        <v>1</v>
      </c>
      <c r="F368" s="288">
        <v>2</v>
      </c>
      <c r="G368" s="562"/>
    </row>
    <row r="369" spans="2:7" x14ac:dyDescent="0.2">
      <c r="B369" s="550" t="s">
        <v>270</v>
      </c>
      <c r="C369" s="269" t="s">
        <v>339</v>
      </c>
      <c r="D369" s="284">
        <v>0.95</v>
      </c>
      <c r="E369" s="284">
        <v>0.95</v>
      </c>
      <c r="F369" s="284">
        <v>0.9</v>
      </c>
      <c r="G369" s="562"/>
    </row>
    <row r="370" spans="2:7" x14ac:dyDescent="0.2">
      <c r="B370" s="550" t="s">
        <v>70</v>
      </c>
      <c r="C370" s="269" t="s">
        <v>329</v>
      </c>
      <c r="D370" s="285">
        <f>D367*D369</f>
        <v>5911.66</v>
      </c>
      <c r="E370" s="285">
        <f>E367*E369</f>
        <v>17734.979999999996</v>
      </c>
      <c r="F370" s="285">
        <f>F367*F369</f>
        <v>5600.5200000000023</v>
      </c>
      <c r="G370" s="562"/>
    </row>
    <row r="371" spans="2:7" x14ac:dyDescent="0.2">
      <c r="B371" s="566" t="s">
        <v>360</v>
      </c>
      <c r="D371" s="286"/>
      <c r="G371" s="562"/>
    </row>
    <row r="372" spans="2:7" x14ac:dyDescent="0.2">
      <c r="B372" s="550" t="s">
        <v>278</v>
      </c>
      <c r="C372" s="269" t="s">
        <v>361</v>
      </c>
      <c r="D372" s="289">
        <v>4</v>
      </c>
      <c r="E372" s="289">
        <v>4</v>
      </c>
      <c r="F372" s="289">
        <v>4</v>
      </c>
      <c r="G372" s="562"/>
    </row>
    <row r="373" spans="2:7" x14ac:dyDescent="0.2">
      <c r="B373" s="550" t="s">
        <v>301</v>
      </c>
      <c r="C373" s="269" t="s">
        <v>350</v>
      </c>
      <c r="D373" s="289">
        <v>21.5</v>
      </c>
      <c r="E373" s="289">
        <v>15.15</v>
      </c>
      <c r="F373" s="289">
        <v>28</v>
      </c>
      <c r="G373" s="562"/>
    </row>
    <row r="374" spans="2:7" x14ac:dyDescent="0.2">
      <c r="B374" s="566" t="s">
        <v>157</v>
      </c>
      <c r="G374" s="562"/>
    </row>
    <row r="375" spans="2:7" x14ac:dyDescent="0.2">
      <c r="B375" s="550" t="s">
        <v>272</v>
      </c>
      <c r="C375" s="269" t="s">
        <v>350</v>
      </c>
      <c r="D375" s="289">
        <v>120</v>
      </c>
      <c r="E375" s="289">
        <v>120</v>
      </c>
      <c r="F375" s="289">
        <v>120</v>
      </c>
      <c r="G375" s="562"/>
    </row>
    <row r="376" spans="2:7" x14ac:dyDescent="0.2">
      <c r="B376" s="566" t="s">
        <v>354</v>
      </c>
      <c r="G376" s="562"/>
    </row>
    <row r="377" spans="2:7" x14ac:dyDescent="0.2">
      <c r="B377" s="550" t="s">
        <v>355</v>
      </c>
      <c r="C377" s="269" t="s">
        <v>339</v>
      </c>
      <c r="D377" s="284">
        <v>6.3E-2</v>
      </c>
      <c r="E377" s="284">
        <v>6.3E-2</v>
      </c>
      <c r="F377" s="284">
        <v>0.06</v>
      </c>
      <c r="G377" s="562"/>
    </row>
    <row r="378" spans="2:7" x14ac:dyDescent="0.2">
      <c r="B378" s="550" t="s">
        <v>72</v>
      </c>
      <c r="C378" s="269" t="s">
        <v>339</v>
      </c>
      <c r="D378" s="284">
        <v>0.75</v>
      </c>
      <c r="E378" s="284">
        <v>0.75</v>
      </c>
      <c r="F378" s="284">
        <v>0.75</v>
      </c>
      <c r="G378" s="562"/>
    </row>
    <row r="379" spans="2:7" x14ac:dyDescent="0.2">
      <c r="B379" s="550" t="s">
        <v>279</v>
      </c>
      <c r="C379" s="269" t="s">
        <v>339</v>
      </c>
      <c r="D379" s="284">
        <v>4.4999999999999998E-2</v>
      </c>
      <c r="E379" s="284">
        <v>3.5999999999999997E-2</v>
      </c>
      <c r="F379" s="284">
        <v>4.4999999999999998E-2</v>
      </c>
      <c r="G379" s="562"/>
    </row>
    <row r="380" spans="2:7" x14ac:dyDescent="0.2">
      <c r="B380" s="550"/>
      <c r="G380" s="562"/>
    </row>
    <row r="381" spans="2:7" x14ac:dyDescent="0.2">
      <c r="B381" s="659" t="s">
        <v>364</v>
      </c>
      <c r="C381" s="294"/>
      <c r="D381" s="294"/>
      <c r="E381" s="294"/>
      <c r="F381" s="294"/>
      <c r="G381" s="660"/>
    </row>
    <row r="382" spans="2:7" x14ac:dyDescent="0.2">
      <c r="B382" s="550"/>
      <c r="C382" s="269" t="s">
        <v>333</v>
      </c>
      <c r="D382" s="269" t="s">
        <v>418</v>
      </c>
      <c r="E382" s="269" t="s">
        <v>61</v>
      </c>
      <c r="G382" s="562"/>
    </row>
    <row r="383" spans="2:7" x14ac:dyDescent="0.2">
      <c r="B383" s="566" t="s">
        <v>337</v>
      </c>
      <c r="G383" s="562"/>
    </row>
    <row r="384" spans="2:7" x14ac:dyDescent="0.2">
      <c r="B384" s="550" t="s">
        <v>366</v>
      </c>
      <c r="C384" s="295" t="s">
        <v>329</v>
      </c>
      <c r="D384" s="285">
        <f>D385*(SUM(D329:G329)+SUM(D349:F349))</f>
        <v>56800</v>
      </c>
      <c r="E384" s="285">
        <f>D321-D384</f>
        <v>36542</v>
      </c>
      <c r="G384" s="562"/>
    </row>
    <row r="385" spans="2:7" x14ac:dyDescent="0.2">
      <c r="B385" s="550" t="s">
        <v>367</v>
      </c>
      <c r="C385" s="269" t="s">
        <v>329</v>
      </c>
      <c r="D385" s="287">
        <v>200</v>
      </c>
      <c r="E385" s="287">
        <v>200</v>
      </c>
      <c r="G385" s="562"/>
    </row>
    <row r="386" spans="2:7" x14ac:dyDescent="0.2">
      <c r="B386" s="550" t="s">
        <v>368</v>
      </c>
      <c r="C386" s="269" t="s">
        <v>342</v>
      </c>
      <c r="D386" s="285">
        <f>ROUNDUP(D384/D385,0)</f>
        <v>284</v>
      </c>
      <c r="E386" s="285">
        <f>ROUNDUP(E384/E385,0)</f>
        <v>183</v>
      </c>
      <c r="G386" s="562"/>
    </row>
    <row r="387" spans="2:7" x14ac:dyDescent="0.2">
      <c r="B387" s="550" t="s">
        <v>369</v>
      </c>
      <c r="C387" s="269" t="s">
        <v>342</v>
      </c>
      <c r="D387" s="285">
        <f>0.1*(SUM(D386:F386))</f>
        <v>46.7</v>
      </c>
      <c r="E387" s="285"/>
      <c r="F387" s="285"/>
      <c r="G387" s="562"/>
    </row>
    <row r="388" spans="2:7" x14ac:dyDescent="0.2">
      <c r="B388" s="566" t="s">
        <v>360</v>
      </c>
      <c r="C388" s="269" t="s">
        <v>352</v>
      </c>
      <c r="G388" s="562"/>
    </row>
    <row r="389" spans="2:7" x14ac:dyDescent="0.2">
      <c r="B389" s="550" t="s">
        <v>302</v>
      </c>
      <c r="C389" s="269" t="s">
        <v>361</v>
      </c>
      <c r="D389" s="289">
        <v>0.5</v>
      </c>
      <c r="E389" s="289">
        <v>0.5</v>
      </c>
      <c r="G389" s="562"/>
    </row>
    <row r="390" spans="2:7" x14ac:dyDescent="0.2">
      <c r="B390" s="550" t="s">
        <v>370</v>
      </c>
      <c r="C390" s="269" t="s">
        <v>371</v>
      </c>
      <c r="D390" s="289">
        <v>180</v>
      </c>
      <c r="E390" s="289">
        <v>180</v>
      </c>
      <c r="G390" s="562"/>
    </row>
    <row r="391" spans="2:7" x14ac:dyDescent="0.2">
      <c r="B391" s="550" t="s">
        <v>373</v>
      </c>
      <c r="C391" s="269" t="s">
        <v>374</v>
      </c>
      <c r="D391" s="289">
        <v>1</v>
      </c>
      <c r="E391" s="289">
        <v>1</v>
      </c>
      <c r="G391" s="562"/>
    </row>
    <row r="392" spans="2:7" x14ac:dyDescent="0.2">
      <c r="B392" s="566" t="s">
        <v>354</v>
      </c>
      <c r="G392" s="562"/>
    </row>
    <row r="393" spans="2:7" x14ac:dyDescent="0.2">
      <c r="B393" s="550" t="s">
        <v>375</v>
      </c>
      <c r="C393" s="269" t="s">
        <v>339</v>
      </c>
      <c r="D393" s="293">
        <v>0.75</v>
      </c>
      <c r="E393" s="293">
        <v>0.6</v>
      </c>
      <c r="G393" s="562"/>
    </row>
    <row r="394" spans="2:7" x14ac:dyDescent="0.2">
      <c r="B394" s="566" t="s">
        <v>157</v>
      </c>
      <c r="G394" s="562"/>
    </row>
    <row r="395" spans="2:7" x14ac:dyDescent="0.2">
      <c r="B395" s="550" t="s">
        <v>272</v>
      </c>
      <c r="C395" s="269" t="s">
        <v>350</v>
      </c>
      <c r="D395" s="289">
        <v>100</v>
      </c>
      <c r="E395" s="289">
        <v>100</v>
      </c>
      <c r="G395" s="562"/>
    </row>
    <row r="396" spans="2:7" x14ac:dyDescent="0.2">
      <c r="B396" s="550"/>
      <c r="G396" s="562"/>
    </row>
    <row r="397" spans="2:7" x14ac:dyDescent="0.2">
      <c r="B397" s="661" t="s">
        <v>376</v>
      </c>
      <c r="C397" s="296"/>
      <c r="D397" s="296"/>
      <c r="E397" s="296"/>
      <c r="F397" s="296"/>
      <c r="G397" s="662"/>
    </row>
    <row r="398" spans="2:7" x14ac:dyDescent="0.2">
      <c r="B398" s="566" t="s">
        <v>337</v>
      </c>
      <c r="G398" s="562"/>
    </row>
    <row r="399" spans="2:7" x14ac:dyDescent="0.2">
      <c r="B399" s="550" t="s">
        <v>171</v>
      </c>
      <c r="C399" s="269" t="s">
        <v>342</v>
      </c>
      <c r="D399" s="288">
        <v>50</v>
      </c>
      <c r="G399" s="562"/>
    </row>
    <row r="400" spans="2:7" x14ac:dyDescent="0.2">
      <c r="B400" s="550" t="s">
        <v>419</v>
      </c>
      <c r="C400" s="269" t="s">
        <v>329</v>
      </c>
      <c r="D400" s="271">
        <f>I9</f>
        <v>51530.3</v>
      </c>
      <c r="E400" s="269" t="s">
        <v>420</v>
      </c>
      <c r="G400" s="562"/>
    </row>
    <row r="401" spans="2:7" x14ac:dyDescent="0.2">
      <c r="B401" s="550" t="s">
        <v>381</v>
      </c>
      <c r="C401" s="269" t="s">
        <v>379</v>
      </c>
      <c r="D401" s="293">
        <v>0.3</v>
      </c>
      <c r="E401" s="269" t="s">
        <v>380</v>
      </c>
      <c r="G401" s="562"/>
    </row>
    <row r="402" spans="2:7" x14ac:dyDescent="0.2">
      <c r="B402" s="550" t="s">
        <v>381</v>
      </c>
      <c r="C402" s="269" t="s">
        <v>329</v>
      </c>
      <c r="D402" s="271">
        <f>D401*D400</f>
        <v>15459.09</v>
      </c>
      <c r="G402" s="562"/>
    </row>
    <row r="403" spans="2:7" x14ac:dyDescent="0.2">
      <c r="B403" s="550" t="s">
        <v>422</v>
      </c>
      <c r="C403" s="269" t="s">
        <v>329</v>
      </c>
      <c r="D403" s="271">
        <f>[2]Massing!C82</f>
        <v>3816</v>
      </c>
      <c r="G403" s="562"/>
    </row>
    <row r="404" spans="2:7" ht="13.5" thickBot="1" x14ac:dyDescent="0.25">
      <c r="B404" s="563" t="s">
        <v>169</v>
      </c>
      <c r="C404" s="564" t="s">
        <v>329</v>
      </c>
      <c r="D404" s="663">
        <f>[2]Massing!C80+[2]Massing!C87+[2]Massing!C89</f>
        <v>30588</v>
      </c>
      <c r="E404" s="564"/>
      <c r="F404" s="564"/>
      <c r="G404" s="565"/>
    </row>
    <row r="405" spans="2:7" ht="13.5" thickBot="1" x14ac:dyDescent="0.25"/>
    <row r="406" spans="2:7" x14ac:dyDescent="0.2">
      <c r="B406" s="627" t="s">
        <v>140</v>
      </c>
      <c r="C406" s="645"/>
      <c r="D406" s="628" t="s">
        <v>153</v>
      </c>
      <c r="E406" s="645"/>
      <c r="F406" s="645"/>
      <c r="G406" s="646"/>
    </row>
    <row r="407" spans="2:7" x14ac:dyDescent="0.2">
      <c r="B407" s="550"/>
      <c r="C407" s="530"/>
      <c r="D407" s="530"/>
      <c r="E407" s="530"/>
      <c r="F407" s="530"/>
      <c r="G407" s="562"/>
    </row>
    <row r="408" spans="2:7" x14ac:dyDescent="0.2">
      <c r="B408" s="550" t="s">
        <v>424</v>
      </c>
      <c r="C408" s="530" t="s">
        <v>329</v>
      </c>
      <c r="D408" s="231">
        <f>D10</f>
        <v>95362</v>
      </c>
      <c r="E408" s="530"/>
      <c r="F408" s="530"/>
      <c r="G408" s="562"/>
    </row>
    <row r="409" spans="2:7" x14ac:dyDescent="0.2">
      <c r="B409" s="550" t="s">
        <v>404</v>
      </c>
      <c r="C409" s="530" t="s">
        <v>329</v>
      </c>
      <c r="D409" s="231">
        <f>[2]Massing!E101+[2]Massing!E102</f>
        <v>104564</v>
      </c>
      <c r="E409" s="530" t="s">
        <v>433</v>
      </c>
      <c r="F409" s="530"/>
      <c r="G409" s="562"/>
    </row>
    <row r="410" spans="2:7" x14ac:dyDescent="0.2">
      <c r="B410" s="550" t="s">
        <v>383</v>
      </c>
      <c r="C410" s="530" t="s">
        <v>329</v>
      </c>
      <c r="D410" s="231">
        <v>150177</v>
      </c>
      <c r="E410" s="530"/>
      <c r="F410" s="530"/>
      <c r="G410" s="562"/>
    </row>
    <row r="411" spans="2:7" x14ac:dyDescent="0.2">
      <c r="B411" s="550" t="s">
        <v>384</v>
      </c>
      <c r="C411" s="530" t="s">
        <v>329</v>
      </c>
      <c r="D411" s="231">
        <v>71791</v>
      </c>
      <c r="E411" s="530"/>
      <c r="F411" s="530"/>
      <c r="G411" s="562"/>
    </row>
    <row r="412" spans="2:7" x14ac:dyDescent="0.2">
      <c r="B412" s="550" t="s">
        <v>406</v>
      </c>
      <c r="C412" s="530" t="s">
        <v>329</v>
      </c>
      <c r="D412" s="231">
        <v>23954</v>
      </c>
      <c r="E412" s="530"/>
      <c r="F412" s="760"/>
      <c r="G412" s="562"/>
    </row>
    <row r="413" spans="2:7" x14ac:dyDescent="0.2">
      <c r="B413" s="550" t="s">
        <v>385</v>
      </c>
      <c r="C413" s="530" t="s">
        <v>329</v>
      </c>
      <c r="D413" s="231">
        <v>167403</v>
      </c>
      <c r="E413" s="530"/>
      <c r="F413" s="530"/>
      <c r="G413" s="562"/>
    </row>
    <row r="414" spans="2:7" x14ac:dyDescent="0.2">
      <c r="B414" s="550"/>
      <c r="C414" s="530"/>
      <c r="D414" s="530"/>
      <c r="E414" s="530"/>
      <c r="F414" s="530"/>
      <c r="G414" s="562"/>
    </row>
    <row r="415" spans="2:7" x14ac:dyDescent="0.2">
      <c r="B415" s="649" t="s">
        <v>432</v>
      </c>
      <c r="C415" s="761"/>
      <c r="D415" s="761"/>
      <c r="E415" s="761"/>
      <c r="F415" s="761"/>
      <c r="G415" s="650"/>
    </row>
    <row r="416" spans="2:7" x14ac:dyDescent="0.2">
      <c r="B416" s="550"/>
      <c r="C416" s="530" t="s">
        <v>333</v>
      </c>
      <c r="D416" s="762" t="s">
        <v>334</v>
      </c>
      <c r="E416" s="762" t="s">
        <v>335</v>
      </c>
      <c r="F416" s="762" t="s">
        <v>336</v>
      </c>
      <c r="G416" s="562"/>
    </row>
    <row r="417" spans="2:7" x14ac:dyDescent="0.2">
      <c r="B417" s="566" t="s">
        <v>337</v>
      </c>
      <c r="C417" s="530"/>
      <c r="D417" s="530"/>
      <c r="E417" s="762"/>
      <c r="F417" s="762"/>
      <c r="G417" s="562"/>
    </row>
    <row r="418" spans="2:7" x14ac:dyDescent="0.2">
      <c r="B418" s="550" t="s">
        <v>338</v>
      </c>
      <c r="C418" s="530" t="s">
        <v>339</v>
      </c>
      <c r="D418" s="763">
        <v>0.15</v>
      </c>
      <c r="E418" s="763">
        <v>0.45</v>
      </c>
      <c r="F418" s="764">
        <f>(1-E418-D418)</f>
        <v>0.4</v>
      </c>
      <c r="G418" s="562"/>
    </row>
    <row r="419" spans="2:7" x14ac:dyDescent="0.2">
      <c r="B419" s="550" t="s">
        <v>340</v>
      </c>
      <c r="C419" s="530" t="s">
        <v>329</v>
      </c>
      <c r="D419" s="765">
        <f>D418*$D$409</f>
        <v>15684.599999999999</v>
      </c>
      <c r="E419" s="765">
        <f t="shared" ref="E419:F419" si="22">E418*$D$409</f>
        <v>47053.8</v>
      </c>
      <c r="F419" s="765">
        <f t="shared" si="22"/>
        <v>41825.600000000006</v>
      </c>
      <c r="G419" s="562"/>
    </row>
    <row r="420" spans="2:7" x14ac:dyDescent="0.2">
      <c r="B420" s="550" t="s">
        <v>341</v>
      </c>
      <c r="C420" s="530" t="s">
        <v>342</v>
      </c>
      <c r="D420" s="766">
        <f t="shared" ref="D420:E420" si="23">ROUNDUP(D419/D421,0)</f>
        <v>27</v>
      </c>
      <c r="E420" s="766">
        <f t="shared" si="23"/>
        <v>63</v>
      </c>
      <c r="F420" s="766">
        <f>ROUNDUP(F419/F421,0)</f>
        <v>40</v>
      </c>
      <c r="G420" s="562"/>
    </row>
    <row r="421" spans="2:7" x14ac:dyDescent="0.2">
      <c r="B421" s="550" t="s">
        <v>343</v>
      </c>
      <c r="C421" s="530" t="s">
        <v>329</v>
      </c>
      <c r="D421" s="767">
        <v>600</v>
      </c>
      <c r="E421" s="767">
        <v>750</v>
      </c>
      <c r="F421" s="767">
        <v>1050</v>
      </c>
      <c r="G421" s="562"/>
    </row>
    <row r="422" spans="2:7" x14ac:dyDescent="0.2">
      <c r="B422" s="550" t="s">
        <v>344</v>
      </c>
      <c r="C422" s="530" t="s">
        <v>339</v>
      </c>
      <c r="D422" s="763">
        <v>0.8</v>
      </c>
      <c r="E422" s="763">
        <v>0.8</v>
      </c>
      <c r="F422" s="763">
        <v>0.8</v>
      </c>
      <c r="G422" s="562"/>
    </row>
    <row r="423" spans="2:7" x14ac:dyDescent="0.2">
      <c r="B423" s="550" t="s">
        <v>345</v>
      </c>
      <c r="C423" s="530" t="s">
        <v>329</v>
      </c>
      <c r="D423" s="766">
        <f>D421*D422</f>
        <v>480</v>
      </c>
      <c r="E423" s="766">
        <f>E421*E422</f>
        <v>600</v>
      </c>
      <c r="F423" s="766">
        <f>F421*F422</f>
        <v>840</v>
      </c>
      <c r="G423" s="562"/>
    </row>
    <row r="424" spans="2:7" x14ac:dyDescent="0.2">
      <c r="B424" s="550" t="s">
        <v>346</v>
      </c>
      <c r="C424" s="530" t="s">
        <v>347</v>
      </c>
      <c r="D424" s="767">
        <v>10</v>
      </c>
      <c r="E424" s="767">
        <v>10</v>
      </c>
      <c r="F424" s="767">
        <v>10</v>
      </c>
      <c r="G424" s="562"/>
    </row>
    <row r="425" spans="2:7" x14ac:dyDescent="0.2">
      <c r="B425" s="566" t="s">
        <v>348</v>
      </c>
      <c r="C425" s="530"/>
      <c r="D425" s="768"/>
      <c r="E425" s="768"/>
      <c r="F425" s="768"/>
      <c r="G425" s="562"/>
    </row>
    <row r="426" spans="2:7" x14ac:dyDescent="0.2">
      <c r="B426" s="550" t="s">
        <v>349</v>
      </c>
      <c r="C426" s="530" t="s">
        <v>350</v>
      </c>
      <c r="D426" s="769">
        <v>200</v>
      </c>
      <c r="E426" s="769">
        <v>225</v>
      </c>
      <c r="F426" s="769">
        <v>250</v>
      </c>
      <c r="G426" s="562"/>
    </row>
    <row r="427" spans="2:7" x14ac:dyDescent="0.2">
      <c r="B427" s="550" t="s">
        <v>351</v>
      </c>
      <c r="C427" s="530" t="s">
        <v>352</v>
      </c>
      <c r="D427" s="770">
        <f>D421*D426</f>
        <v>120000</v>
      </c>
      <c r="E427" s="770">
        <f>E421*E426</f>
        <v>168750</v>
      </c>
      <c r="F427" s="770">
        <f>F421*F426</f>
        <v>262500</v>
      </c>
      <c r="G427" s="562"/>
    </row>
    <row r="428" spans="2:7" x14ac:dyDescent="0.2">
      <c r="B428" s="550" t="s">
        <v>353</v>
      </c>
      <c r="C428" s="530" t="s">
        <v>339</v>
      </c>
      <c r="D428" s="763">
        <v>0.04</v>
      </c>
      <c r="E428" s="763">
        <v>0.05</v>
      </c>
      <c r="F428" s="763">
        <v>0.08</v>
      </c>
      <c r="G428" s="562"/>
    </row>
    <row r="429" spans="2:7" x14ac:dyDescent="0.2">
      <c r="B429" s="566" t="s">
        <v>157</v>
      </c>
      <c r="C429" s="530"/>
      <c r="D429" s="768"/>
      <c r="E429" s="768"/>
      <c r="F429" s="768"/>
      <c r="G429" s="562"/>
    </row>
    <row r="430" spans="2:7" x14ac:dyDescent="0.2">
      <c r="B430" s="550" t="s">
        <v>272</v>
      </c>
      <c r="C430" s="530" t="s">
        <v>350</v>
      </c>
      <c r="D430" s="769">
        <v>130</v>
      </c>
      <c r="E430" s="769">
        <v>130</v>
      </c>
      <c r="F430" s="769">
        <v>130</v>
      </c>
      <c r="G430" s="562"/>
    </row>
    <row r="431" spans="2:7" x14ac:dyDescent="0.2">
      <c r="B431" s="566" t="s">
        <v>354</v>
      </c>
      <c r="C431" s="530"/>
      <c r="D431" s="768"/>
      <c r="E431" s="768"/>
      <c r="F431" s="768"/>
      <c r="G431" s="562"/>
    </row>
    <row r="432" spans="2:7" x14ac:dyDescent="0.2">
      <c r="B432" s="550" t="s">
        <v>355</v>
      </c>
      <c r="C432" s="530" t="s">
        <v>339</v>
      </c>
      <c r="D432" s="763">
        <v>5.8000000000000003E-2</v>
      </c>
      <c r="E432" s="763">
        <v>5.8000000000000003E-2</v>
      </c>
      <c r="F432" s="763">
        <v>5.8000000000000003E-2</v>
      </c>
      <c r="G432" s="562"/>
    </row>
    <row r="433" spans="2:7" x14ac:dyDescent="0.2">
      <c r="B433" s="550"/>
      <c r="C433" s="530"/>
      <c r="D433" s="530"/>
      <c r="E433" s="530"/>
      <c r="F433" s="530"/>
      <c r="G433" s="562"/>
    </row>
    <row r="434" spans="2:7" x14ac:dyDescent="0.2">
      <c r="B434" s="657" t="s">
        <v>362</v>
      </c>
      <c r="C434" s="771"/>
      <c r="D434" s="771"/>
      <c r="E434" s="771"/>
      <c r="F434" s="771"/>
      <c r="G434" s="658"/>
    </row>
    <row r="435" spans="2:7" x14ac:dyDescent="0.2">
      <c r="B435" s="550"/>
      <c r="C435" s="530" t="s">
        <v>333</v>
      </c>
      <c r="D435" s="530"/>
      <c r="E435" s="530"/>
      <c r="F435" s="530"/>
      <c r="G435" s="562"/>
    </row>
    <row r="436" spans="2:7" x14ac:dyDescent="0.2">
      <c r="B436" s="566" t="s">
        <v>337</v>
      </c>
      <c r="C436" s="530"/>
      <c r="D436" s="530"/>
      <c r="E436" s="530"/>
      <c r="F436" s="530"/>
      <c r="G436" s="562"/>
    </row>
    <row r="437" spans="2:7" x14ac:dyDescent="0.2">
      <c r="B437" s="550" t="s">
        <v>270</v>
      </c>
      <c r="C437" s="530" t="s">
        <v>339</v>
      </c>
      <c r="D437" s="772">
        <v>0.95</v>
      </c>
      <c r="E437" s="530"/>
      <c r="F437" s="530"/>
      <c r="G437" s="562"/>
    </row>
    <row r="438" spans="2:7" x14ac:dyDescent="0.2">
      <c r="B438" s="550" t="s">
        <v>363</v>
      </c>
      <c r="C438" s="530" t="s">
        <v>329</v>
      </c>
      <c r="D438" s="285">
        <f>D437*D410</f>
        <v>142668.15</v>
      </c>
      <c r="E438" s="530"/>
      <c r="F438" s="530"/>
      <c r="G438" s="562"/>
    </row>
    <row r="439" spans="2:7" x14ac:dyDescent="0.2">
      <c r="B439" s="566" t="s">
        <v>360</v>
      </c>
      <c r="C439" s="530"/>
      <c r="D439" s="530"/>
      <c r="E439" s="530"/>
      <c r="F439" s="530"/>
      <c r="G439" s="562"/>
    </row>
    <row r="440" spans="2:7" x14ac:dyDescent="0.2">
      <c r="B440" s="550" t="s">
        <v>278</v>
      </c>
      <c r="C440" s="530" t="s">
        <v>361</v>
      </c>
      <c r="D440" s="773">
        <v>6</v>
      </c>
      <c r="E440" s="530"/>
      <c r="F440" s="530"/>
      <c r="G440" s="562"/>
    </row>
    <row r="441" spans="2:7" x14ac:dyDescent="0.2">
      <c r="B441" s="550" t="s">
        <v>301</v>
      </c>
      <c r="C441" s="530" t="s">
        <v>350</v>
      </c>
      <c r="D441" s="773">
        <v>35</v>
      </c>
      <c r="E441" s="530"/>
      <c r="F441" s="530"/>
      <c r="G441" s="562"/>
    </row>
    <row r="442" spans="2:7" x14ac:dyDescent="0.2">
      <c r="B442" s="566" t="s">
        <v>157</v>
      </c>
      <c r="C442" s="530"/>
      <c r="D442" s="530"/>
      <c r="E442" s="530"/>
      <c r="F442" s="530"/>
      <c r="G442" s="562"/>
    </row>
    <row r="443" spans="2:7" x14ac:dyDescent="0.2">
      <c r="B443" s="550" t="s">
        <v>272</v>
      </c>
      <c r="C443" s="530" t="s">
        <v>350</v>
      </c>
      <c r="D443" s="773">
        <v>160</v>
      </c>
      <c r="E443" s="530"/>
      <c r="F443" s="530"/>
      <c r="G443" s="562"/>
    </row>
    <row r="444" spans="2:7" x14ac:dyDescent="0.2">
      <c r="B444" s="566" t="s">
        <v>354</v>
      </c>
      <c r="C444" s="530"/>
      <c r="D444" s="530"/>
      <c r="E444" s="530"/>
      <c r="F444" s="530"/>
      <c r="G444" s="562"/>
    </row>
    <row r="445" spans="2:7" x14ac:dyDescent="0.2">
      <c r="B445" s="550" t="s">
        <v>355</v>
      </c>
      <c r="C445" s="530" t="s">
        <v>339</v>
      </c>
      <c r="D445" s="774">
        <v>0.1</v>
      </c>
      <c r="E445" s="530"/>
      <c r="F445" s="530"/>
      <c r="G445" s="562"/>
    </row>
    <row r="446" spans="2:7" x14ac:dyDescent="0.2">
      <c r="B446" s="550" t="s">
        <v>279</v>
      </c>
      <c r="C446" s="530" t="s">
        <v>339</v>
      </c>
      <c r="D446" s="774">
        <v>0.2</v>
      </c>
      <c r="E446" s="530"/>
      <c r="F446" s="530"/>
      <c r="G446" s="562"/>
    </row>
    <row r="447" spans="2:7" x14ac:dyDescent="0.2">
      <c r="B447" s="550"/>
      <c r="C447" s="530"/>
      <c r="D447" s="530"/>
      <c r="E447" s="530"/>
      <c r="F447" s="530"/>
      <c r="G447" s="562"/>
    </row>
    <row r="448" spans="2:7" x14ac:dyDescent="0.2">
      <c r="B448" s="664" t="s">
        <v>386</v>
      </c>
      <c r="C448" s="775"/>
      <c r="D448" s="775"/>
      <c r="E448" s="775"/>
      <c r="F448" s="775"/>
      <c r="G448" s="665"/>
    </row>
    <row r="449" spans="2:7" x14ac:dyDescent="0.2">
      <c r="B449" s="550"/>
      <c r="C449" s="530" t="s">
        <v>333</v>
      </c>
      <c r="D449" s="530" t="s">
        <v>387</v>
      </c>
      <c r="E449" s="530" t="s">
        <v>315</v>
      </c>
      <c r="F449" s="530"/>
      <c r="G449" s="562"/>
    </row>
    <row r="450" spans="2:7" x14ac:dyDescent="0.2">
      <c r="B450" s="566" t="s">
        <v>337</v>
      </c>
      <c r="C450" s="530"/>
      <c r="D450" s="530"/>
      <c r="E450" s="530"/>
      <c r="F450" s="530"/>
      <c r="G450" s="562"/>
    </row>
    <row r="451" spans="2:7" x14ac:dyDescent="0.2">
      <c r="B451" s="550" t="s">
        <v>388</v>
      </c>
      <c r="C451" s="530" t="s">
        <v>339</v>
      </c>
      <c r="D451" s="772">
        <v>0.15</v>
      </c>
      <c r="E451" s="776">
        <f>(1-D451)</f>
        <v>0.85</v>
      </c>
      <c r="F451" s="530"/>
      <c r="G451" s="562"/>
    </row>
    <row r="452" spans="2:7" x14ac:dyDescent="0.2">
      <c r="B452" s="550" t="s">
        <v>389</v>
      </c>
      <c r="C452" s="530" t="s">
        <v>329</v>
      </c>
      <c r="D452" s="231">
        <f>D451*$D$411</f>
        <v>10768.65</v>
      </c>
      <c r="E452" s="231">
        <f>E451*$D$411</f>
        <v>61022.35</v>
      </c>
      <c r="F452" s="530"/>
      <c r="G452" s="562"/>
    </row>
    <row r="453" spans="2:7" x14ac:dyDescent="0.2">
      <c r="B453" s="550" t="s">
        <v>390</v>
      </c>
      <c r="C453" s="530" t="s">
        <v>329</v>
      </c>
      <c r="D453" s="777">
        <v>200</v>
      </c>
      <c r="E453" s="777">
        <v>300</v>
      </c>
      <c r="F453" s="530"/>
      <c r="G453" s="562"/>
    </row>
    <row r="454" spans="2:7" x14ac:dyDescent="0.2">
      <c r="B454" s="550" t="s">
        <v>270</v>
      </c>
      <c r="C454" s="530" t="s">
        <v>339</v>
      </c>
      <c r="D454" s="772">
        <v>0.85</v>
      </c>
      <c r="E454" s="772">
        <v>0.85</v>
      </c>
      <c r="F454" s="530"/>
      <c r="G454" s="562"/>
    </row>
    <row r="455" spans="2:7" x14ac:dyDescent="0.2">
      <c r="B455" s="550" t="s">
        <v>391</v>
      </c>
      <c r="C455" s="530" t="s">
        <v>329</v>
      </c>
      <c r="D455" s="231">
        <f>D452*D454</f>
        <v>9153.3524999999991</v>
      </c>
      <c r="E455" s="231">
        <f>E452*E454</f>
        <v>51868.997499999998</v>
      </c>
      <c r="F455" s="530"/>
      <c r="G455" s="562"/>
    </row>
    <row r="456" spans="2:7" x14ac:dyDescent="0.2">
      <c r="B456" s="550" t="s">
        <v>392</v>
      </c>
      <c r="C456" s="530" t="s">
        <v>342</v>
      </c>
      <c r="D456" s="231">
        <f>ROUNDUP(D455/D453,0)</f>
        <v>46</v>
      </c>
      <c r="E456" s="231">
        <f>ROUNDUP(E455/E453,0)</f>
        <v>173</v>
      </c>
      <c r="F456" s="530"/>
      <c r="G456" s="562"/>
    </row>
    <row r="457" spans="2:7" x14ac:dyDescent="0.2">
      <c r="B457" s="566" t="s">
        <v>360</v>
      </c>
      <c r="C457" s="530"/>
      <c r="D457" s="530"/>
      <c r="E457" s="530"/>
      <c r="F457" s="530"/>
      <c r="G457" s="562"/>
    </row>
    <row r="458" spans="2:7" x14ac:dyDescent="0.2">
      <c r="B458" s="550" t="s">
        <v>393</v>
      </c>
      <c r="C458" s="530" t="s">
        <v>350</v>
      </c>
      <c r="D458" s="773">
        <v>15</v>
      </c>
      <c r="E458" s="773">
        <v>22</v>
      </c>
      <c r="F458" s="530"/>
      <c r="G458" s="562"/>
    </row>
    <row r="459" spans="2:7" x14ac:dyDescent="0.2">
      <c r="B459" s="550" t="s">
        <v>394</v>
      </c>
      <c r="C459" s="530" t="s">
        <v>350</v>
      </c>
      <c r="D459" s="773">
        <v>18</v>
      </c>
      <c r="E459" s="359"/>
      <c r="F459" s="530"/>
      <c r="G459" s="562"/>
    </row>
    <row r="460" spans="2:7" x14ac:dyDescent="0.2">
      <c r="B460" s="550" t="s">
        <v>395</v>
      </c>
      <c r="C460" s="530" t="s">
        <v>350</v>
      </c>
      <c r="D460" s="773">
        <v>16.5</v>
      </c>
      <c r="E460" s="359"/>
      <c r="F460" s="530"/>
      <c r="G460" s="562"/>
    </row>
    <row r="461" spans="2:7" x14ac:dyDescent="0.2">
      <c r="B461" s="550" t="s">
        <v>301</v>
      </c>
      <c r="C461" s="530" t="s">
        <v>371</v>
      </c>
      <c r="D461" s="208">
        <f>(30%*D458)+(30%*D459)+(40%*D460)</f>
        <v>16.5</v>
      </c>
      <c r="E461" s="773">
        <v>25</v>
      </c>
      <c r="F461" s="530"/>
      <c r="G461" s="562"/>
    </row>
    <row r="462" spans="2:7" x14ac:dyDescent="0.2">
      <c r="B462" s="550" t="s">
        <v>278</v>
      </c>
      <c r="C462" s="530" t="s">
        <v>361</v>
      </c>
      <c r="D462" s="773">
        <v>9</v>
      </c>
      <c r="E462" s="773">
        <v>5.7</v>
      </c>
      <c r="F462" s="530"/>
      <c r="G462" s="562"/>
    </row>
    <row r="463" spans="2:7" x14ac:dyDescent="0.2">
      <c r="B463" s="550" t="s">
        <v>396</v>
      </c>
      <c r="C463" s="530" t="s">
        <v>339</v>
      </c>
      <c r="D463" s="774">
        <v>0.03</v>
      </c>
      <c r="E463" s="769" t="s">
        <v>397</v>
      </c>
      <c r="F463" s="530"/>
      <c r="G463" s="562"/>
    </row>
    <row r="464" spans="2:7" x14ac:dyDescent="0.2">
      <c r="B464" s="566" t="s">
        <v>157</v>
      </c>
      <c r="C464" s="530"/>
      <c r="D464" s="530"/>
      <c r="E464" s="530"/>
      <c r="F464" s="530"/>
      <c r="G464" s="562"/>
    </row>
    <row r="465" spans="2:7" x14ac:dyDescent="0.2">
      <c r="B465" s="550" t="s">
        <v>272</v>
      </c>
      <c r="C465" s="530" t="s">
        <v>350</v>
      </c>
      <c r="D465" s="773">
        <v>80</v>
      </c>
      <c r="E465" s="773">
        <v>140</v>
      </c>
      <c r="F465" s="530"/>
      <c r="G465" s="562"/>
    </row>
    <row r="466" spans="2:7" x14ac:dyDescent="0.2">
      <c r="B466" s="550" t="s">
        <v>279</v>
      </c>
      <c r="C466" s="530" t="s">
        <v>339</v>
      </c>
      <c r="D466" s="772">
        <v>0.11</v>
      </c>
      <c r="E466" s="772">
        <v>0.11</v>
      </c>
      <c r="F466" s="530"/>
      <c r="G466" s="562"/>
    </row>
    <row r="467" spans="2:7" x14ac:dyDescent="0.2">
      <c r="B467" s="550" t="s">
        <v>242</v>
      </c>
      <c r="C467" s="530" t="s">
        <v>339</v>
      </c>
      <c r="D467" s="772">
        <v>0.09</v>
      </c>
      <c r="E467" s="772">
        <v>0.09</v>
      </c>
      <c r="F467" s="530"/>
      <c r="G467" s="562"/>
    </row>
    <row r="468" spans="2:7" x14ac:dyDescent="0.2">
      <c r="B468" s="550"/>
      <c r="C468" s="530"/>
      <c r="D468" s="530"/>
      <c r="E468" s="530"/>
      <c r="F468" s="530"/>
      <c r="G468" s="562"/>
    </row>
    <row r="469" spans="2:7" x14ac:dyDescent="0.2">
      <c r="B469" s="651" t="s">
        <v>414</v>
      </c>
      <c r="C469" s="778"/>
      <c r="D469" s="778"/>
      <c r="E469" s="778"/>
      <c r="F469" s="778"/>
      <c r="G469" s="652"/>
    </row>
    <row r="470" spans="2:7" x14ac:dyDescent="0.2">
      <c r="B470" s="550"/>
      <c r="C470" s="530" t="s">
        <v>333</v>
      </c>
      <c r="D470" s="779" t="s">
        <v>415</v>
      </c>
      <c r="E470" s="779" t="s">
        <v>416</v>
      </c>
      <c r="F470" s="779" t="s">
        <v>417</v>
      </c>
      <c r="G470" s="562"/>
    </row>
    <row r="471" spans="2:7" x14ac:dyDescent="0.2">
      <c r="B471" s="566" t="s">
        <v>337</v>
      </c>
      <c r="C471" s="530"/>
      <c r="D471" s="530"/>
      <c r="E471" s="530"/>
      <c r="F471" s="531"/>
      <c r="G471" s="562"/>
    </row>
    <row r="472" spans="2:7" x14ac:dyDescent="0.2">
      <c r="B472" s="550" t="s">
        <v>338</v>
      </c>
      <c r="C472" s="530" t="s">
        <v>339</v>
      </c>
      <c r="D472" s="774">
        <v>0.3</v>
      </c>
      <c r="E472" s="774">
        <v>0.6</v>
      </c>
      <c r="F472" s="360">
        <f>(1-D472-E472)</f>
        <v>9.9999999999999978E-2</v>
      </c>
      <c r="G472" s="562"/>
    </row>
    <row r="473" spans="2:7" x14ac:dyDescent="0.2">
      <c r="B473" s="550" t="s">
        <v>340</v>
      </c>
      <c r="C473" s="530" t="s">
        <v>329</v>
      </c>
      <c r="D473" s="285">
        <f>D472*$D$412</f>
        <v>7186.2</v>
      </c>
      <c r="E473" s="285">
        <f t="shared" ref="E473:F473" si="24">E472*$D$412</f>
        <v>14372.4</v>
      </c>
      <c r="F473" s="285">
        <f t="shared" si="24"/>
        <v>2395.3999999999996</v>
      </c>
      <c r="G473" s="562"/>
    </row>
    <row r="474" spans="2:7" x14ac:dyDescent="0.2">
      <c r="B474" s="550" t="s">
        <v>359</v>
      </c>
      <c r="C474" s="530" t="s">
        <v>342</v>
      </c>
      <c r="D474" s="287">
        <v>2</v>
      </c>
      <c r="E474" s="780">
        <v>1</v>
      </c>
      <c r="F474" s="781">
        <v>2</v>
      </c>
      <c r="G474" s="562"/>
    </row>
    <row r="475" spans="2:7" x14ac:dyDescent="0.2">
      <c r="B475" s="550" t="s">
        <v>270</v>
      </c>
      <c r="C475" s="530" t="s">
        <v>339</v>
      </c>
      <c r="D475" s="774">
        <v>0.95</v>
      </c>
      <c r="E475" s="774">
        <v>0.95</v>
      </c>
      <c r="F475" s="774">
        <v>0.9</v>
      </c>
      <c r="G475" s="562"/>
    </row>
    <row r="476" spans="2:7" x14ac:dyDescent="0.2">
      <c r="B476" s="550" t="s">
        <v>70</v>
      </c>
      <c r="C476" s="530" t="s">
        <v>329</v>
      </c>
      <c r="D476" s="285">
        <f>D473*D475</f>
        <v>6826.8899999999994</v>
      </c>
      <c r="E476" s="285">
        <f>E473*E475</f>
        <v>13653.779999999999</v>
      </c>
      <c r="F476" s="285">
        <f>F473*F475</f>
        <v>2155.8599999999997</v>
      </c>
      <c r="G476" s="562"/>
    </row>
    <row r="477" spans="2:7" x14ac:dyDescent="0.2">
      <c r="B477" s="566" t="s">
        <v>360</v>
      </c>
      <c r="C477" s="530"/>
      <c r="D477" s="205"/>
      <c r="E477" s="530"/>
      <c r="F477" s="530"/>
      <c r="G477" s="562"/>
    </row>
    <row r="478" spans="2:7" x14ac:dyDescent="0.2">
      <c r="B478" s="550" t="s">
        <v>278</v>
      </c>
      <c r="C478" s="530" t="s">
        <v>361</v>
      </c>
      <c r="D478" s="773">
        <v>4</v>
      </c>
      <c r="E478" s="773">
        <v>4</v>
      </c>
      <c r="F478" s="773">
        <v>4</v>
      </c>
      <c r="G478" s="562"/>
    </row>
    <row r="479" spans="2:7" x14ac:dyDescent="0.2">
      <c r="B479" s="550" t="s">
        <v>301</v>
      </c>
      <c r="C479" s="530" t="s">
        <v>350</v>
      </c>
      <c r="D479" s="773">
        <v>21.5</v>
      </c>
      <c r="E479" s="773">
        <v>15.15</v>
      </c>
      <c r="F479" s="773">
        <v>28</v>
      </c>
      <c r="G479" s="562"/>
    </row>
    <row r="480" spans="2:7" x14ac:dyDescent="0.2">
      <c r="B480" s="566" t="s">
        <v>157</v>
      </c>
      <c r="C480" s="530"/>
      <c r="D480" s="530"/>
      <c r="E480" s="530"/>
      <c r="F480" s="530"/>
      <c r="G480" s="562"/>
    </row>
    <row r="481" spans="2:7" x14ac:dyDescent="0.2">
      <c r="B481" s="550" t="s">
        <v>272</v>
      </c>
      <c r="C481" s="530" t="s">
        <v>350</v>
      </c>
      <c r="D481" s="773">
        <v>120</v>
      </c>
      <c r="E481" s="773">
        <v>120</v>
      </c>
      <c r="F481" s="773">
        <v>120</v>
      </c>
      <c r="G481" s="562"/>
    </row>
    <row r="482" spans="2:7" x14ac:dyDescent="0.2">
      <c r="B482" s="566" t="s">
        <v>354</v>
      </c>
      <c r="C482" s="530"/>
      <c r="D482" s="530"/>
      <c r="E482" s="530"/>
      <c r="F482" s="530"/>
      <c r="G482" s="562"/>
    </row>
    <row r="483" spans="2:7" x14ac:dyDescent="0.2">
      <c r="B483" s="550" t="s">
        <v>355</v>
      </c>
      <c r="C483" s="530" t="s">
        <v>339</v>
      </c>
      <c r="D483" s="774">
        <v>6.3E-2</v>
      </c>
      <c r="E483" s="774">
        <v>6.3E-2</v>
      </c>
      <c r="F483" s="774">
        <v>0.06</v>
      </c>
      <c r="G483" s="562"/>
    </row>
    <row r="484" spans="2:7" x14ac:dyDescent="0.2">
      <c r="B484" s="550" t="s">
        <v>72</v>
      </c>
      <c r="C484" s="530" t="s">
        <v>339</v>
      </c>
      <c r="D484" s="774">
        <v>0.75</v>
      </c>
      <c r="E484" s="774">
        <v>0.75</v>
      </c>
      <c r="F484" s="774">
        <v>0.75</v>
      </c>
      <c r="G484" s="562"/>
    </row>
    <row r="485" spans="2:7" x14ac:dyDescent="0.2">
      <c r="B485" s="550" t="s">
        <v>279</v>
      </c>
      <c r="C485" s="530" t="s">
        <v>339</v>
      </c>
      <c r="D485" s="774">
        <v>4.4999999999999998E-2</v>
      </c>
      <c r="E485" s="774">
        <v>3.5999999999999997E-2</v>
      </c>
      <c r="F485" s="774">
        <v>4.4999999999999998E-2</v>
      </c>
      <c r="G485" s="562"/>
    </row>
    <row r="486" spans="2:7" x14ac:dyDescent="0.2">
      <c r="B486" s="550"/>
      <c r="C486" s="530"/>
      <c r="D486" s="530"/>
      <c r="E486" s="530"/>
      <c r="F486" s="530"/>
      <c r="G486" s="562"/>
    </row>
    <row r="487" spans="2:7" x14ac:dyDescent="0.2">
      <c r="B487" s="659" t="s">
        <v>364</v>
      </c>
      <c r="C487" s="782"/>
      <c r="D487" s="782"/>
      <c r="E487" s="782"/>
      <c r="F487" s="782"/>
      <c r="G487" s="660"/>
    </row>
    <row r="488" spans="2:7" x14ac:dyDescent="0.2">
      <c r="B488" s="550"/>
      <c r="C488" s="530" t="s">
        <v>333</v>
      </c>
      <c r="D488" s="530" t="s">
        <v>418</v>
      </c>
      <c r="E488" s="530" t="s">
        <v>61</v>
      </c>
      <c r="F488" s="530" t="s">
        <v>434</v>
      </c>
      <c r="G488" s="562" t="s">
        <v>386</v>
      </c>
    </row>
    <row r="489" spans="2:7" x14ac:dyDescent="0.2">
      <c r="B489" s="566" t="s">
        <v>337</v>
      </c>
      <c r="C489" s="530"/>
      <c r="D489" s="530"/>
      <c r="E489" s="530"/>
      <c r="F489" s="530"/>
      <c r="G489" s="562"/>
    </row>
    <row r="490" spans="2:7" x14ac:dyDescent="0.2">
      <c r="B490" s="550" t="s">
        <v>366</v>
      </c>
      <c r="C490" s="295" t="s">
        <v>329</v>
      </c>
      <c r="D490" s="285">
        <f>D491*(SUM(D420:F420))</f>
        <v>26000</v>
      </c>
      <c r="E490" s="285">
        <f>($D$413-$D$490-$G$490)*0.1</f>
        <v>9760.3000000000011</v>
      </c>
      <c r="F490" s="285">
        <f>($D$413-$D$490-$G$490)*0.9</f>
        <v>87842.7</v>
      </c>
      <c r="G490" s="783">
        <f>G491*(SUM(D456:E456))</f>
        <v>43800</v>
      </c>
    </row>
    <row r="491" spans="2:7" x14ac:dyDescent="0.2">
      <c r="B491" s="550" t="s">
        <v>367</v>
      </c>
      <c r="C491" s="530" t="s">
        <v>329</v>
      </c>
      <c r="D491" s="287">
        <v>200</v>
      </c>
      <c r="E491" s="287">
        <v>200</v>
      </c>
      <c r="F491" s="287">
        <v>200</v>
      </c>
      <c r="G491" s="784">
        <v>200</v>
      </c>
    </row>
    <row r="492" spans="2:7" x14ac:dyDescent="0.2">
      <c r="B492" s="550" t="s">
        <v>368</v>
      </c>
      <c r="C492" s="530" t="s">
        <v>342</v>
      </c>
      <c r="D492" s="285">
        <f>ROUNDUP(D490/D491,0)</f>
        <v>130</v>
      </c>
      <c r="E492" s="285">
        <f>ROUNDUP(E490/E491,0)</f>
        <v>49</v>
      </c>
      <c r="F492" s="285">
        <f t="shared" ref="F492:G492" si="25">ROUNDUP(F490/F491,0)</f>
        <v>440</v>
      </c>
      <c r="G492" s="785">
        <f t="shared" si="25"/>
        <v>219</v>
      </c>
    </row>
    <row r="493" spans="2:7" x14ac:dyDescent="0.2">
      <c r="B493" s="550" t="s">
        <v>369</v>
      </c>
      <c r="C493" s="530" t="s">
        <v>342</v>
      </c>
      <c r="D493" s="285">
        <f>0.1*(SUM(D492:G492))</f>
        <v>83.800000000000011</v>
      </c>
      <c r="E493" s="285"/>
      <c r="F493" s="285"/>
      <c r="G493" s="562"/>
    </row>
    <row r="494" spans="2:7" x14ac:dyDescent="0.2">
      <c r="B494" s="566" t="s">
        <v>360</v>
      </c>
      <c r="C494" s="530" t="s">
        <v>352</v>
      </c>
      <c r="D494" s="530"/>
      <c r="E494" s="530"/>
      <c r="F494" s="530"/>
      <c r="G494" s="562"/>
    </row>
    <row r="495" spans="2:7" x14ac:dyDescent="0.2">
      <c r="B495" s="550" t="s">
        <v>302</v>
      </c>
      <c r="C495" s="530" t="s">
        <v>361</v>
      </c>
      <c r="D495" s="773">
        <v>0.5</v>
      </c>
      <c r="E495" s="773">
        <v>0.5</v>
      </c>
      <c r="F495" s="773">
        <v>0.5</v>
      </c>
      <c r="G495" s="786">
        <v>0.5</v>
      </c>
    </row>
    <row r="496" spans="2:7" x14ac:dyDescent="0.2">
      <c r="B496" s="550" t="s">
        <v>370</v>
      </c>
      <c r="C496" s="530" t="s">
        <v>371</v>
      </c>
      <c r="D496" s="773">
        <v>180</v>
      </c>
      <c r="E496" s="773">
        <v>180</v>
      </c>
      <c r="F496" s="773">
        <v>180</v>
      </c>
      <c r="G496" s="786">
        <v>210</v>
      </c>
    </row>
    <row r="497" spans="2:7" x14ac:dyDescent="0.2">
      <c r="B497" s="550" t="s">
        <v>373</v>
      </c>
      <c r="C497" s="530" t="s">
        <v>374</v>
      </c>
      <c r="D497" s="773">
        <v>1</v>
      </c>
      <c r="E497" s="773">
        <v>1</v>
      </c>
      <c r="F497" s="773">
        <v>1</v>
      </c>
      <c r="G497" s="786">
        <v>1</v>
      </c>
    </row>
    <row r="498" spans="2:7" x14ac:dyDescent="0.2">
      <c r="B498" s="566" t="s">
        <v>354</v>
      </c>
      <c r="C498" s="530"/>
      <c r="D498" s="530"/>
      <c r="E498" s="530"/>
      <c r="F498" s="530"/>
      <c r="G498" s="562"/>
    </row>
    <row r="499" spans="2:7" x14ac:dyDescent="0.2">
      <c r="B499" s="550" t="s">
        <v>375</v>
      </c>
      <c r="C499" s="530" t="s">
        <v>339</v>
      </c>
      <c r="D499" s="772">
        <v>0.75</v>
      </c>
      <c r="E499" s="772">
        <v>0.6</v>
      </c>
      <c r="F499" s="772">
        <v>0.6</v>
      </c>
      <c r="G499" s="787">
        <v>0.6</v>
      </c>
    </row>
    <row r="500" spans="2:7" x14ac:dyDescent="0.2">
      <c r="B500" s="566" t="s">
        <v>157</v>
      </c>
      <c r="C500" s="530"/>
      <c r="D500" s="530"/>
      <c r="E500" s="530"/>
      <c r="F500" s="530"/>
      <c r="G500" s="562"/>
    </row>
    <row r="501" spans="2:7" x14ac:dyDescent="0.2">
      <c r="B501" s="550" t="s">
        <v>272</v>
      </c>
      <c r="C501" s="530" t="s">
        <v>350</v>
      </c>
      <c r="D501" s="773">
        <v>100</v>
      </c>
      <c r="E501" s="773">
        <v>100</v>
      </c>
      <c r="F501" s="773">
        <v>100</v>
      </c>
      <c r="G501" s="786">
        <v>100</v>
      </c>
    </row>
    <row r="502" spans="2:7" x14ac:dyDescent="0.2">
      <c r="B502" s="550"/>
      <c r="C502" s="530"/>
      <c r="D502" s="530"/>
      <c r="E502" s="530"/>
      <c r="F502" s="530"/>
      <c r="G502" s="562"/>
    </row>
    <row r="503" spans="2:7" x14ac:dyDescent="0.2">
      <c r="B503" s="661" t="s">
        <v>376</v>
      </c>
      <c r="C503" s="788"/>
      <c r="D503" s="788"/>
      <c r="E503" s="788"/>
      <c r="F503" s="788"/>
      <c r="G503" s="662"/>
    </row>
    <row r="504" spans="2:7" x14ac:dyDescent="0.2">
      <c r="B504" s="566" t="s">
        <v>337</v>
      </c>
      <c r="C504" s="530"/>
      <c r="D504" s="530"/>
      <c r="E504" s="530"/>
      <c r="F504" s="530"/>
      <c r="G504" s="562"/>
    </row>
    <row r="505" spans="2:7" x14ac:dyDescent="0.2">
      <c r="B505" s="550" t="s">
        <v>171</v>
      </c>
      <c r="C505" s="530" t="s">
        <v>342</v>
      </c>
      <c r="D505" s="781">
        <v>50</v>
      </c>
      <c r="E505" s="530"/>
      <c r="F505" s="530"/>
      <c r="G505" s="562"/>
    </row>
    <row r="506" spans="2:7" x14ac:dyDescent="0.2">
      <c r="B506" s="550" t="s">
        <v>419</v>
      </c>
      <c r="C506" s="530" t="s">
        <v>329</v>
      </c>
      <c r="D506" s="231">
        <f>I10</f>
        <v>34792.9</v>
      </c>
      <c r="E506" s="530" t="s">
        <v>420</v>
      </c>
      <c r="F506" s="530"/>
      <c r="G506" s="562"/>
    </row>
    <row r="507" spans="2:7" x14ac:dyDescent="0.2">
      <c r="B507" s="550" t="s">
        <v>381</v>
      </c>
      <c r="C507" s="530" t="s">
        <v>379</v>
      </c>
      <c r="D507" s="772">
        <v>0.3</v>
      </c>
      <c r="E507" s="530" t="s">
        <v>380</v>
      </c>
      <c r="F507" s="530"/>
      <c r="G507" s="562"/>
    </row>
    <row r="508" spans="2:7" ht="13.5" thickBot="1" x14ac:dyDescent="0.25">
      <c r="B508" s="563" t="s">
        <v>381</v>
      </c>
      <c r="C508" s="564" t="s">
        <v>329</v>
      </c>
      <c r="D508" s="663">
        <f>D507*D506</f>
        <v>10437.870000000001</v>
      </c>
      <c r="E508" s="564"/>
      <c r="F508" s="564"/>
      <c r="G508" s="565"/>
    </row>
    <row r="509" spans="2:7" ht="13.5" thickBot="1" x14ac:dyDescent="0.25">
      <c r="D509" s="297"/>
    </row>
    <row r="510" spans="2:7" x14ac:dyDescent="0.2">
      <c r="B510" s="627" t="s">
        <v>142</v>
      </c>
      <c r="C510" s="645"/>
      <c r="D510" s="628" t="s">
        <v>154</v>
      </c>
      <c r="E510" s="645"/>
      <c r="F510" s="645"/>
      <c r="G510" s="646"/>
    </row>
    <row r="511" spans="2:7" x14ac:dyDescent="0.2">
      <c r="B511" s="550"/>
      <c r="C511" s="530"/>
      <c r="D511" s="530"/>
      <c r="E511" s="530"/>
      <c r="F511" s="530"/>
      <c r="G511" s="562"/>
    </row>
    <row r="512" spans="2:7" x14ac:dyDescent="0.2">
      <c r="B512" s="550" t="s">
        <v>424</v>
      </c>
      <c r="C512" s="530" t="s">
        <v>329</v>
      </c>
      <c r="D512" s="231">
        <f>D11</f>
        <v>98180</v>
      </c>
      <c r="E512" s="530"/>
      <c r="F512" s="530"/>
      <c r="G512" s="562"/>
    </row>
    <row r="513" spans="2:7" x14ac:dyDescent="0.2">
      <c r="B513" s="550" t="s">
        <v>404</v>
      </c>
      <c r="C513" s="530" t="s">
        <v>329</v>
      </c>
      <c r="D513" s="231">
        <f>[2]Massing!E111+[2]Massing!E112+[2]Massing!E113</f>
        <v>200765</v>
      </c>
      <c r="E513" s="530" t="s">
        <v>433</v>
      </c>
      <c r="F513" s="530"/>
      <c r="G513" s="562"/>
    </row>
    <row r="514" spans="2:7" x14ac:dyDescent="0.2">
      <c r="B514" s="550" t="s">
        <v>384</v>
      </c>
      <c r="C514" s="530" t="s">
        <v>329</v>
      </c>
      <c r="D514" s="231">
        <f>[2]Massing!E110+[2]Massing!E109</f>
        <v>81535</v>
      </c>
      <c r="E514" s="530"/>
      <c r="F514" s="530"/>
      <c r="G514" s="562"/>
    </row>
    <row r="515" spans="2:7" x14ac:dyDescent="0.2">
      <c r="B515" s="550" t="s">
        <v>406</v>
      </c>
      <c r="C515" s="530" t="s">
        <v>329</v>
      </c>
      <c r="D515" s="231">
        <f>[2]Massing!E108</f>
        <v>14822</v>
      </c>
      <c r="E515" s="530"/>
      <c r="F515" s="760"/>
      <c r="G515" s="562"/>
    </row>
    <row r="516" spans="2:7" x14ac:dyDescent="0.2">
      <c r="B516" s="550" t="s">
        <v>385</v>
      </c>
      <c r="C516" s="530" t="s">
        <v>329</v>
      </c>
      <c r="D516" s="231">
        <f>[2]Massing!E115</f>
        <v>113560</v>
      </c>
      <c r="E516" s="530"/>
      <c r="F516" s="530"/>
      <c r="G516" s="562"/>
    </row>
    <row r="517" spans="2:7" x14ac:dyDescent="0.2">
      <c r="B517" s="550"/>
      <c r="C517" s="530"/>
      <c r="D517" s="530"/>
      <c r="E517" s="530"/>
      <c r="F517" s="530"/>
      <c r="G517" s="562"/>
    </row>
    <row r="518" spans="2:7" x14ac:dyDescent="0.2">
      <c r="B518" s="649" t="s">
        <v>435</v>
      </c>
      <c r="C518" s="761"/>
      <c r="D518" s="761"/>
      <c r="E518" s="761"/>
      <c r="F518" s="761"/>
      <c r="G518" s="650"/>
    </row>
    <row r="519" spans="2:7" x14ac:dyDescent="0.2">
      <c r="B519" s="550"/>
      <c r="C519" s="530" t="s">
        <v>333</v>
      </c>
      <c r="D519" s="762" t="s">
        <v>334</v>
      </c>
      <c r="E519" s="762" t="s">
        <v>335</v>
      </c>
      <c r="F519" s="762" t="s">
        <v>336</v>
      </c>
      <c r="G519" s="562"/>
    </row>
    <row r="520" spans="2:7" x14ac:dyDescent="0.2">
      <c r="B520" s="566" t="s">
        <v>337</v>
      </c>
      <c r="C520" s="530"/>
      <c r="D520" s="530"/>
      <c r="E520" s="762"/>
      <c r="F520" s="762"/>
      <c r="G520" s="562"/>
    </row>
    <row r="521" spans="2:7" x14ac:dyDescent="0.2">
      <c r="B521" s="550" t="s">
        <v>338</v>
      </c>
      <c r="C521" s="530" t="s">
        <v>339</v>
      </c>
      <c r="D521" s="763">
        <v>0.15</v>
      </c>
      <c r="E521" s="763">
        <v>0.45</v>
      </c>
      <c r="F521" s="764">
        <f>(1-E521-D521)</f>
        <v>0.4</v>
      </c>
      <c r="G521" s="562"/>
    </row>
    <row r="522" spans="2:7" x14ac:dyDescent="0.2">
      <c r="B522" s="550" t="s">
        <v>340</v>
      </c>
      <c r="C522" s="530" t="s">
        <v>329</v>
      </c>
      <c r="D522" s="765">
        <f>D521*$D$513</f>
        <v>30114.75</v>
      </c>
      <c r="E522" s="765">
        <f t="shared" ref="E522:F522" si="26">E521*$D$513</f>
        <v>90344.25</v>
      </c>
      <c r="F522" s="765">
        <f t="shared" si="26"/>
        <v>80306</v>
      </c>
      <c r="G522" s="562"/>
    </row>
    <row r="523" spans="2:7" x14ac:dyDescent="0.2">
      <c r="B523" s="550" t="s">
        <v>341</v>
      </c>
      <c r="C523" s="530" t="s">
        <v>342</v>
      </c>
      <c r="D523" s="766">
        <f t="shared" ref="D523:E523" si="27">ROUNDUP(D522/D524,0)</f>
        <v>51</v>
      </c>
      <c r="E523" s="766">
        <f t="shared" si="27"/>
        <v>121</v>
      </c>
      <c r="F523" s="766">
        <f>ROUNDUP(F522/F524,0)</f>
        <v>77</v>
      </c>
      <c r="G523" s="562"/>
    </row>
    <row r="524" spans="2:7" x14ac:dyDescent="0.2">
      <c r="B524" s="550" t="s">
        <v>343</v>
      </c>
      <c r="C524" s="530" t="s">
        <v>329</v>
      </c>
      <c r="D524" s="767">
        <v>600</v>
      </c>
      <c r="E524" s="767">
        <v>750</v>
      </c>
      <c r="F524" s="767">
        <v>1050</v>
      </c>
      <c r="G524" s="562"/>
    </row>
    <row r="525" spans="2:7" x14ac:dyDescent="0.2">
      <c r="B525" s="550" t="s">
        <v>344</v>
      </c>
      <c r="C525" s="530" t="s">
        <v>339</v>
      </c>
      <c r="D525" s="763">
        <v>0.8</v>
      </c>
      <c r="E525" s="763">
        <v>0.8</v>
      </c>
      <c r="F525" s="763">
        <v>0.8</v>
      </c>
      <c r="G525" s="562"/>
    </row>
    <row r="526" spans="2:7" x14ac:dyDescent="0.2">
      <c r="B526" s="550" t="s">
        <v>345</v>
      </c>
      <c r="C526" s="530" t="s">
        <v>329</v>
      </c>
      <c r="D526" s="766">
        <f>D524*D525</f>
        <v>480</v>
      </c>
      <c r="E526" s="766">
        <f>E524*E525</f>
        <v>600</v>
      </c>
      <c r="F526" s="766">
        <f>F524*F525</f>
        <v>840</v>
      </c>
      <c r="G526" s="562"/>
    </row>
    <row r="527" spans="2:7" x14ac:dyDescent="0.2">
      <c r="B527" s="550" t="s">
        <v>346</v>
      </c>
      <c r="C527" s="530" t="s">
        <v>347</v>
      </c>
      <c r="D527" s="767">
        <v>10</v>
      </c>
      <c r="E527" s="767">
        <v>10</v>
      </c>
      <c r="F527" s="767">
        <v>10</v>
      </c>
      <c r="G527" s="562"/>
    </row>
    <row r="528" spans="2:7" x14ac:dyDescent="0.2">
      <c r="B528" s="566" t="s">
        <v>348</v>
      </c>
      <c r="C528" s="530"/>
      <c r="D528" s="768"/>
      <c r="E528" s="768"/>
      <c r="F528" s="768"/>
      <c r="G528" s="562"/>
    </row>
    <row r="529" spans="2:7" x14ac:dyDescent="0.2">
      <c r="B529" s="550" t="s">
        <v>349</v>
      </c>
      <c r="C529" s="530" t="s">
        <v>350</v>
      </c>
      <c r="D529" s="769">
        <v>200</v>
      </c>
      <c r="E529" s="769">
        <v>225</v>
      </c>
      <c r="F529" s="769">
        <v>250</v>
      </c>
      <c r="G529" s="562"/>
    </row>
    <row r="530" spans="2:7" x14ac:dyDescent="0.2">
      <c r="B530" s="550" t="s">
        <v>351</v>
      </c>
      <c r="C530" s="530" t="s">
        <v>352</v>
      </c>
      <c r="D530" s="770">
        <f>D524*D529</f>
        <v>120000</v>
      </c>
      <c r="E530" s="770">
        <f>E524*E529</f>
        <v>168750</v>
      </c>
      <c r="F530" s="770">
        <f>F524*F529</f>
        <v>262500</v>
      </c>
      <c r="G530" s="562"/>
    </row>
    <row r="531" spans="2:7" x14ac:dyDescent="0.2">
      <c r="B531" s="550" t="s">
        <v>353</v>
      </c>
      <c r="C531" s="530" t="s">
        <v>339</v>
      </c>
      <c r="D531" s="763">
        <v>0.04</v>
      </c>
      <c r="E531" s="763">
        <v>0.05</v>
      </c>
      <c r="F531" s="763">
        <v>0.08</v>
      </c>
      <c r="G531" s="562"/>
    </row>
    <row r="532" spans="2:7" x14ac:dyDescent="0.2">
      <c r="B532" s="566" t="s">
        <v>157</v>
      </c>
      <c r="C532" s="530"/>
      <c r="D532" s="768"/>
      <c r="E532" s="768"/>
      <c r="F532" s="768"/>
      <c r="G532" s="562"/>
    </row>
    <row r="533" spans="2:7" x14ac:dyDescent="0.2">
      <c r="B533" s="550" t="s">
        <v>272</v>
      </c>
      <c r="C533" s="530" t="s">
        <v>350</v>
      </c>
      <c r="D533" s="769">
        <v>130</v>
      </c>
      <c r="E533" s="769">
        <v>130</v>
      </c>
      <c r="F533" s="769">
        <v>130</v>
      </c>
      <c r="G533" s="562"/>
    </row>
    <row r="534" spans="2:7" x14ac:dyDescent="0.2">
      <c r="B534" s="566" t="s">
        <v>354</v>
      </c>
      <c r="C534" s="530"/>
      <c r="D534" s="768"/>
      <c r="E534" s="768"/>
      <c r="F534" s="768"/>
      <c r="G534" s="562"/>
    </row>
    <row r="535" spans="2:7" x14ac:dyDescent="0.2">
      <c r="B535" s="550" t="s">
        <v>355</v>
      </c>
      <c r="C535" s="530" t="s">
        <v>339</v>
      </c>
      <c r="D535" s="763">
        <v>5.8000000000000003E-2</v>
      </c>
      <c r="E535" s="763">
        <v>5.8000000000000003E-2</v>
      </c>
      <c r="F535" s="763">
        <v>5.8000000000000003E-2</v>
      </c>
      <c r="G535" s="562"/>
    </row>
    <row r="536" spans="2:7" x14ac:dyDescent="0.2">
      <c r="B536" s="550"/>
      <c r="C536" s="530"/>
      <c r="D536" s="530"/>
      <c r="E536" s="530"/>
      <c r="F536" s="530"/>
      <c r="G536" s="562"/>
    </row>
    <row r="537" spans="2:7" x14ac:dyDescent="0.2">
      <c r="B537" s="664" t="s">
        <v>386</v>
      </c>
      <c r="C537" s="775"/>
      <c r="D537" s="775"/>
      <c r="E537" s="775"/>
      <c r="F537" s="775"/>
      <c r="G537" s="665"/>
    </row>
    <row r="538" spans="2:7" x14ac:dyDescent="0.2">
      <c r="B538" s="550"/>
      <c r="C538" s="530" t="s">
        <v>333</v>
      </c>
      <c r="D538" s="530" t="s">
        <v>387</v>
      </c>
      <c r="E538" s="530" t="s">
        <v>315</v>
      </c>
      <c r="F538" s="530"/>
      <c r="G538" s="562"/>
    </row>
    <row r="539" spans="2:7" x14ac:dyDescent="0.2">
      <c r="B539" s="566" t="s">
        <v>337</v>
      </c>
      <c r="C539" s="530"/>
      <c r="D539" s="530"/>
      <c r="E539" s="530"/>
      <c r="F539" s="530"/>
      <c r="G539" s="562"/>
    </row>
    <row r="540" spans="2:7" x14ac:dyDescent="0.2">
      <c r="B540" s="550" t="s">
        <v>388</v>
      </c>
      <c r="C540" s="530" t="s">
        <v>339</v>
      </c>
      <c r="D540" s="772">
        <v>0.1</v>
      </c>
      <c r="E540" s="776">
        <f>(1-D540)</f>
        <v>0.9</v>
      </c>
      <c r="F540" s="530"/>
      <c r="G540" s="562"/>
    </row>
    <row r="541" spans="2:7" x14ac:dyDescent="0.2">
      <c r="B541" s="550" t="s">
        <v>389</v>
      </c>
      <c r="C541" s="530" t="s">
        <v>329</v>
      </c>
      <c r="D541" s="231">
        <f>D540*$D$514</f>
        <v>8153.5</v>
      </c>
      <c r="E541" s="231">
        <f>E540*$D$514</f>
        <v>73381.5</v>
      </c>
      <c r="F541" s="530"/>
      <c r="G541" s="562"/>
    </row>
    <row r="542" spans="2:7" x14ac:dyDescent="0.2">
      <c r="B542" s="550" t="s">
        <v>390</v>
      </c>
      <c r="C542" s="530" t="s">
        <v>329</v>
      </c>
      <c r="D542" s="777">
        <v>200</v>
      </c>
      <c r="E542" s="777">
        <v>300</v>
      </c>
      <c r="F542" s="530"/>
      <c r="G542" s="562"/>
    </row>
    <row r="543" spans="2:7" x14ac:dyDescent="0.2">
      <c r="B543" s="550" t="s">
        <v>270</v>
      </c>
      <c r="C543" s="530" t="s">
        <v>339</v>
      </c>
      <c r="D543" s="772">
        <v>0.85</v>
      </c>
      <c r="E543" s="772">
        <v>0.85</v>
      </c>
      <c r="F543" s="530"/>
      <c r="G543" s="562"/>
    </row>
    <row r="544" spans="2:7" x14ac:dyDescent="0.2">
      <c r="B544" s="550" t="s">
        <v>391</v>
      </c>
      <c r="C544" s="530" t="s">
        <v>329</v>
      </c>
      <c r="D544" s="231">
        <f>D541*D543</f>
        <v>6930.4749999999995</v>
      </c>
      <c r="E544" s="231">
        <f>E541*E543</f>
        <v>62374.275000000001</v>
      </c>
      <c r="F544" s="530"/>
      <c r="G544" s="562"/>
    </row>
    <row r="545" spans="2:7" x14ac:dyDescent="0.2">
      <c r="B545" s="550" t="s">
        <v>392</v>
      </c>
      <c r="C545" s="530" t="s">
        <v>342</v>
      </c>
      <c r="D545" s="231">
        <f>ROUNDUP(D544/D542,0)</f>
        <v>35</v>
      </c>
      <c r="E545" s="231">
        <f>ROUNDUP(E544/E542,0)</f>
        <v>208</v>
      </c>
      <c r="F545" s="530"/>
      <c r="G545" s="562"/>
    </row>
    <row r="546" spans="2:7" x14ac:dyDescent="0.2">
      <c r="B546" s="566" t="s">
        <v>360</v>
      </c>
      <c r="C546" s="530"/>
      <c r="D546" s="530"/>
      <c r="E546" s="530"/>
      <c r="F546" s="530"/>
      <c r="G546" s="562"/>
    </row>
    <row r="547" spans="2:7" x14ac:dyDescent="0.2">
      <c r="B547" s="550" t="s">
        <v>393</v>
      </c>
      <c r="C547" s="530" t="s">
        <v>350</v>
      </c>
      <c r="D547" s="773">
        <v>15</v>
      </c>
      <c r="E547" s="773">
        <v>22</v>
      </c>
      <c r="F547" s="530"/>
      <c r="G547" s="562"/>
    </row>
    <row r="548" spans="2:7" x14ac:dyDescent="0.2">
      <c r="B548" s="550" t="s">
        <v>394</v>
      </c>
      <c r="C548" s="530" t="s">
        <v>350</v>
      </c>
      <c r="D548" s="773">
        <v>18</v>
      </c>
      <c r="E548" s="359"/>
      <c r="F548" s="530"/>
      <c r="G548" s="562"/>
    </row>
    <row r="549" spans="2:7" x14ac:dyDescent="0.2">
      <c r="B549" s="550" t="s">
        <v>395</v>
      </c>
      <c r="C549" s="530" t="s">
        <v>350</v>
      </c>
      <c r="D549" s="773">
        <v>16.5</v>
      </c>
      <c r="E549" s="359"/>
      <c r="F549" s="530"/>
      <c r="G549" s="562"/>
    </row>
    <row r="550" spans="2:7" x14ac:dyDescent="0.2">
      <c r="B550" s="550" t="s">
        <v>301</v>
      </c>
      <c r="C550" s="530" t="s">
        <v>371</v>
      </c>
      <c r="D550" s="208">
        <f>(30%*D547)+(30%*D548)+(40%*D549)</f>
        <v>16.5</v>
      </c>
      <c r="E550" s="773">
        <v>25</v>
      </c>
      <c r="F550" s="530"/>
      <c r="G550" s="562"/>
    </row>
    <row r="551" spans="2:7" x14ac:dyDescent="0.2">
      <c r="B551" s="550" t="s">
        <v>278</v>
      </c>
      <c r="C551" s="530" t="s">
        <v>361</v>
      </c>
      <c r="D551" s="773">
        <v>9</v>
      </c>
      <c r="E551" s="773">
        <v>5.7</v>
      </c>
      <c r="F551" s="530"/>
      <c r="G551" s="562"/>
    </row>
    <row r="552" spans="2:7" x14ac:dyDescent="0.2">
      <c r="B552" s="550" t="s">
        <v>396</v>
      </c>
      <c r="C552" s="530" t="s">
        <v>339</v>
      </c>
      <c r="D552" s="774">
        <v>0.03</v>
      </c>
      <c r="E552" s="769" t="s">
        <v>397</v>
      </c>
      <c r="F552" s="530"/>
      <c r="G552" s="562"/>
    </row>
    <row r="553" spans="2:7" x14ac:dyDescent="0.2">
      <c r="B553" s="566" t="s">
        <v>157</v>
      </c>
      <c r="C553" s="530"/>
      <c r="D553" s="530"/>
      <c r="E553" s="530"/>
      <c r="F553" s="530"/>
      <c r="G553" s="562"/>
    </row>
    <row r="554" spans="2:7" x14ac:dyDescent="0.2">
      <c r="B554" s="550" t="s">
        <v>272</v>
      </c>
      <c r="C554" s="530" t="s">
        <v>350</v>
      </c>
      <c r="D554" s="773">
        <v>80</v>
      </c>
      <c r="E554" s="773">
        <v>140</v>
      </c>
      <c r="F554" s="530"/>
      <c r="G554" s="562"/>
    </row>
    <row r="555" spans="2:7" x14ac:dyDescent="0.2">
      <c r="B555" s="550" t="s">
        <v>279</v>
      </c>
      <c r="C555" s="530" t="s">
        <v>339</v>
      </c>
      <c r="D555" s="772">
        <v>0.11</v>
      </c>
      <c r="E555" s="772">
        <v>0.11</v>
      </c>
      <c r="F555" s="530"/>
      <c r="G555" s="562"/>
    </row>
    <row r="556" spans="2:7" x14ac:dyDescent="0.2">
      <c r="B556" s="550" t="s">
        <v>242</v>
      </c>
      <c r="C556" s="530" t="s">
        <v>339</v>
      </c>
      <c r="D556" s="772">
        <v>0.09</v>
      </c>
      <c r="E556" s="772">
        <v>0.09</v>
      </c>
      <c r="F556" s="530"/>
      <c r="G556" s="562"/>
    </row>
    <row r="557" spans="2:7" x14ac:dyDescent="0.2">
      <c r="B557" s="550"/>
      <c r="C557" s="530"/>
      <c r="D557" s="530"/>
      <c r="E557" s="530"/>
      <c r="F557" s="530"/>
      <c r="G557" s="562"/>
    </row>
    <row r="558" spans="2:7" x14ac:dyDescent="0.2">
      <c r="B558" s="651" t="s">
        <v>414</v>
      </c>
      <c r="C558" s="778"/>
      <c r="D558" s="778"/>
      <c r="E558" s="778"/>
      <c r="F558" s="778"/>
      <c r="G558" s="652"/>
    </row>
    <row r="559" spans="2:7" x14ac:dyDescent="0.2">
      <c r="B559" s="550"/>
      <c r="C559" s="530" t="s">
        <v>333</v>
      </c>
      <c r="D559" s="779" t="s">
        <v>415</v>
      </c>
      <c r="E559" s="779" t="s">
        <v>416</v>
      </c>
      <c r="F559" s="779" t="s">
        <v>417</v>
      </c>
      <c r="G559" s="562"/>
    </row>
    <row r="560" spans="2:7" x14ac:dyDescent="0.2">
      <c r="B560" s="566" t="s">
        <v>337</v>
      </c>
      <c r="C560" s="530"/>
      <c r="D560" s="530"/>
      <c r="E560" s="530"/>
      <c r="F560" s="531"/>
      <c r="G560" s="562"/>
    </row>
    <row r="561" spans="2:7" x14ac:dyDescent="0.2">
      <c r="B561" s="550" t="s">
        <v>338</v>
      </c>
      <c r="C561" s="530" t="s">
        <v>339</v>
      </c>
      <c r="D561" s="774">
        <v>0.8</v>
      </c>
      <c r="E561" s="774">
        <v>0</v>
      </c>
      <c r="F561" s="360">
        <f>(1-D561-E561)</f>
        <v>0.19999999999999996</v>
      </c>
      <c r="G561" s="562"/>
    </row>
    <row r="562" spans="2:7" x14ac:dyDescent="0.2">
      <c r="B562" s="550" t="s">
        <v>340</v>
      </c>
      <c r="C562" s="530" t="s">
        <v>329</v>
      </c>
      <c r="D562" s="285">
        <f>D561*$D$412</f>
        <v>19163.2</v>
      </c>
      <c r="E562" s="285">
        <f t="shared" ref="E562:F562" si="28">E561*$D$412</f>
        <v>0</v>
      </c>
      <c r="F562" s="285">
        <f t="shared" si="28"/>
        <v>4790.7999999999993</v>
      </c>
      <c r="G562" s="562"/>
    </row>
    <row r="563" spans="2:7" x14ac:dyDescent="0.2">
      <c r="B563" s="550" t="s">
        <v>359</v>
      </c>
      <c r="C563" s="530" t="s">
        <v>342</v>
      </c>
      <c r="D563" s="287">
        <v>4</v>
      </c>
      <c r="E563" s="287">
        <v>0</v>
      </c>
      <c r="F563" s="287">
        <v>1</v>
      </c>
      <c r="G563" s="562"/>
    </row>
    <row r="564" spans="2:7" x14ac:dyDescent="0.2">
      <c r="B564" s="550" t="s">
        <v>270</v>
      </c>
      <c r="C564" s="530" t="s">
        <v>339</v>
      </c>
      <c r="D564" s="774">
        <v>0.95</v>
      </c>
      <c r="E564" s="774">
        <v>0.95</v>
      </c>
      <c r="F564" s="774">
        <v>0.9</v>
      </c>
      <c r="G564" s="562"/>
    </row>
    <row r="565" spans="2:7" x14ac:dyDescent="0.2">
      <c r="B565" s="550" t="s">
        <v>70</v>
      </c>
      <c r="C565" s="530" t="s">
        <v>329</v>
      </c>
      <c r="D565" s="285">
        <f>D562*D564</f>
        <v>18205.04</v>
      </c>
      <c r="E565" s="285">
        <f>E562*E564</f>
        <v>0</v>
      </c>
      <c r="F565" s="285">
        <f>F562*F564</f>
        <v>4311.7199999999993</v>
      </c>
      <c r="G565" s="562"/>
    </row>
    <row r="566" spans="2:7" x14ac:dyDescent="0.2">
      <c r="B566" s="566" t="s">
        <v>360</v>
      </c>
      <c r="C566" s="530"/>
      <c r="D566" s="205"/>
      <c r="E566" s="530"/>
      <c r="F566" s="530"/>
      <c r="G566" s="562"/>
    </row>
    <row r="567" spans="2:7" x14ac:dyDescent="0.2">
      <c r="B567" s="550" t="s">
        <v>278</v>
      </c>
      <c r="C567" s="530" t="s">
        <v>361</v>
      </c>
      <c r="D567" s="773">
        <v>4</v>
      </c>
      <c r="E567" s="773">
        <v>4</v>
      </c>
      <c r="F567" s="773">
        <v>4</v>
      </c>
      <c r="G567" s="562"/>
    </row>
    <row r="568" spans="2:7" x14ac:dyDescent="0.2">
      <c r="B568" s="550" t="s">
        <v>301</v>
      </c>
      <c r="C568" s="530" t="s">
        <v>350</v>
      </c>
      <c r="D568" s="773">
        <v>21.5</v>
      </c>
      <c r="E568" s="773">
        <v>15.15</v>
      </c>
      <c r="F568" s="773">
        <v>28</v>
      </c>
      <c r="G568" s="562"/>
    </row>
    <row r="569" spans="2:7" x14ac:dyDescent="0.2">
      <c r="B569" s="566" t="s">
        <v>157</v>
      </c>
      <c r="C569" s="530"/>
      <c r="D569" s="530"/>
      <c r="E569" s="530"/>
      <c r="F569" s="530"/>
      <c r="G569" s="562"/>
    </row>
    <row r="570" spans="2:7" x14ac:dyDescent="0.2">
      <c r="B570" s="550" t="s">
        <v>272</v>
      </c>
      <c r="C570" s="530" t="s">
        <v>350</v>
      </c>
      <c r="D570" s="773">
        <v>120</v>
      </c>
      <c r="E570" s="773">
        <v>120</v>
      </c>
      <c r="F570" s="773">
        <v>120</v>
      </c>
      <c r="G570" s="562"/>
    </row>
    <row r="571" spans="2:7" x14ac:dyDescent="0.2">
      <c r="B571" s="566" t="s">
        <v>354</v>
      </c>
      <c r="C571" s="530"/>
      <c r="D571" s="530"/>
      <c r="E571" s="530"/>
      <c r="F571" s="530"/>
      <c r="G571" s="562"/>
    </row>
    <row r="572" spans="2:7" x14ac:dyDescent="0.2">
      <c r="B572" s="550" t="s">
        <v>355</v>
      </c>
      <c r="C572" s="530" t="s">
        <v>339</v>
      </c>
      <c r="D572" s="774">
        <v>6.3E-2</v>
      </c>
      <c r="E572" s="774">
        <v>6.3E-2</v>
      </c>
      <c r="F572" s="774">
        <v>0.06</v>
      </c>
      <c r="G572" s="562"/>
    </row>
    <row r="573" spans="2:7" x14ac:dyDescent="0.2">
      <c r="B573" s="550" t="s">
        <v>72</v>
      </c>
      <c r="C573" s="530" t="s">
        <v>339</v>
      </c>
      <c r="D573" s="774">
        <v>0.75</v>
      </c>
      <c r="E573" s="774">
        <v>0.75</v>
      </c>
      <c r="F573" s="774">
        <v>0.75</v>
      </c>
      <c r="G573" s="562"/>
    </row>
    <row r="574" spans="2:7" x14ac:dyDescent="0.2">
      <c r="B574" s="550" t="s">
        <v>279</v>
      </c>
      <c r="C574" s="530" t="s">
        <v>339</v>
      </c>
      <c r="D574" s="774">
        <v>4.4999999999999998E-2</v>
      </c>
      <c r="E574" s="774">
        <v>3.5999999999999997E-2</v>
      </c>
      <c r="F574" s="774">
        <v>4.4999999999999998E-2</v>
      </c>
      <c r="G574" s="562"/>
    </row>
    <row r="575" spans="2:7" x14ac:dyDescent="0.2">
      <c r="B575" s="550"/>
      <c r="C575" s="530"/>
      <c r="D575" s="530"/>
      <c r="E575" s="530"/>
      <c r="F575" s="530"/>
      <c r="G575" s="562"/>
    </row>
    <row r="576" spans="2:7" x14ac:dyDescent="0.2">
      <c r="B576" s="659" t="s">
        <v>364</v>
      </c>
      <c r="C576" s="782"/>
      <c r="D576" s="782"/>
      <c r="E576" s="782"/>
      <c r="F576" s="782"/>
      <c r="G576" s="660"/>
    </row>
    <row r="577" spans="2:7" x14ac:dyDescent="0.2">
      <c r="B577" s="550"/>
      <c r="C577" s="530" t="s">
        <v>333</v>
      </c>
      <c r="D577" s="530" t="s">
        <v>418</v>
      </c>
      <c r="E577" s="530" t="s">
        <v>61</v>
      </c>
      <c r="F577" s="530" t="s">
        <v>386</v>
      </c>
      <c r="G577" s="562"/>
    </row>
    <row r="578" spans="2:7" x14ac:dyDescent="0.2">
      <c r="B578" s="566" t="s">
        <v>337</v>
      </c>
      <c r="C578" s="530"/>
      <c r="D578" s="530"/>
      <c r="E578" s="530"/>
      <c r="F578" s="530"/>
      <c r="G578" s="562"/>
    </row>
    <row r="579" spans="2:7" x14ac:dyDescent="0.2">
      <c r="B579" s="550" t="s">
        <v>366</v>
      </c>
      <c r="C579" s="295" t="s">
        <v>329</v>
      </c>
      <c r="D579" s="285">
        <f>D580*(SUM(D523:F523))</f>
        <v>49800</v>
      </c>
      <c r="E579" s="285">
        <f>D516-D579-F579</f>
        <v>15160</v>
      </c>
      <c r="F579" s="789">
        <f>F580*(SUM(D545:E545))</f>
        <v>48600</v>
      </c>
      <c r="G579" s="562"/>
    </row>
    <row r="580" spans="2:7" x14ac:dyDescent="0.2">
      <c r="B580" s="550" t="s">
        <v>367</v>
      </c>
      <c r="C580" s="530" t="s">
        <v>329</v>
      </c>
      <c r="D580" s="287">
        <v>200</v>
      </c>
      <c r="E580" s="287">
        <v>200</v>
      </c>
      <c r="F580" s="287">
        <v>200</v>
      </c>
      <c r="G580" s="562"/>
    </row>
    <row r="581" spans="2:7" x14ac:dyDescent="0.2">
      <c r="B581" s="550" t="s">
        <v>368</v>
      </c>
      <c r="C581" s="530" t="s">
        <v>342</v>
      </c>
      <c r="D581" s="285">
        <f>ROUNDUP(D579/D580,0)</f>
        <v>249</v>
      </c>
      <c r="E581" s="285">
        <f>ROUNDUP(E579/E580,0)</f>
        <v>76</v>
      </c>
      <c r="F581" s="285">
        <f>ROUNDUP(F579/F580,0)</f>
        <v>243</v>
      </c>
      <c r="G581" s="562"/>
    </row>
    <row r="582" spans="2:7" x14ac:dyDescent="0.2">
      <c r="B582" s="550" t="s">
        <v>436</v>
      </c>
      <c r="C582" s="530" t="s">
        <v>342</v>
      </c>
      <c r="D582" s="285">
        <f>0.1*(SUM(D581:F581))</f>
        <v>56.800000000000004</v>
      </c>
      <c r="E582" s="285"/>
      <c r="F582" s="285"/>
      <c r="G582" s="562"/>
    </row>
    <row r="583" spans="2:7" x14ac:dyDescent="0.2">
      <c r="B583" s="566" t="s">
        <v>360</v>
      </c>
      <c r="C583" s="530" t="s">
        <v>352</v>
      </c>
      <c r="D583" s="530"/>
      <c r="E583" s="530"/>
      <c r="F583" s="530"/>
      <c r="G583" s="562"/>
    </row>
    <row r="584" spans="2:7" x14ac:dyDescent="0.2">
      <c r="B584" s="550" t="s">
        <v>302</v>
      </c>
      <c r="C584" s="530" t="s">
        <v>361</v>
      </c>
      <c r="D584" s="773">
        <v>0.5</v>
      </c>
      <c r="E584" s="773">
        <v>0.5</v>
      </c>
      <c r="F584" s="773">
        <v>0.5</v>
      </c>
      <c r="G584" s="562"/>
    </row>
    <row r="585" spans="2:7" x14ac:dyDescent="0.2">
      <c r="B585" s="550" t="s">
        <v>370</v>
      </c>
      <c r="C585" s="530" t="s">
        <v>371</v>
      </c>
      <c r="D585" s="773">
        <v>180</v>
      </c>
      <c r="E585" s="773">
        <v>180</v>
      </c>
      <c r="F585" s="773">
        <v>210</v>
      </c>
      <c r="G585" s="562"/>
    </row>
    <row r="586" spans="2:7" x14ac:dyDescent="0.2">
      <c r="B586" s="550" t="s">
        <v>373</v>
      </c>
      <c r="C586" s="530" t="s">
        <v>374</v>
      </c>
      <c r="D586" s="773">
        <v>1</v>
      </c>
      <c r="E586" s="773">
        <v>1</v>
      </c>
      <c r="F586" s="773">
        <v>1</v>
      </c>
      <c r="G586" s="562"/>
    </row>
    <row r="587" spans="2:7" x14ac:dyDescent="0.2">
      <c r="B587" s="566" t="s">
        <v>354</v>
      </c>
      <c r="C587" s="530"/>
      <c r="D587" s="530"/>
      <c r="E587" s="530"/>
      <c r="F587" s="530"/>
      <c r="G587" s="562"/>
    </row>
    <row r="588" spans="2:7" x14ac:dyDescent="0.2">
      <c r="B588" s="550" t="s">
        <v>375</v>
      </c>
      <c r="C588" s="530" t="s">
        <v>339</v>
      </c>
      <c r="D588" s="772">
        <v>0.75</v>
      </c>
      <c r="E588" s="772">
        <v>0.6</v>
      </c>
      <c r="F588" s="772">
        <v>0.6</v>
      </c>
      <c r="G588" s="562"/>
    </row>
    <row r="589" spans="2:7" x14ac:dyDescent="0.2">
      <c r="B589" s="566" t="s">
        <v>157</v>
      </c>
      <c r="C589" s="530"/>
      <c r="D589" s="530"/>
      <c r="E589" s="530"/>
      <c r="F589" s="530"/>
      <c r="G589" s="562"/>
    </row>
    <row r="590" spans="2:7" x14ac:dyDescent="0.2">
      <c r="B590" s="550" t="s">
        <v>272</v>
      </c>
      <c r="C590" s="530" t="s">
        <v>350</v>
      </c>
      <c r="D590" s="773">
        <v>100</v>
      </c>
      <c r="E590" s="773">
        <v>100</v>
      </c>
      <c r="F590" s="773">
        <v>100</v>
      </c>
      <c r="G590" s="562"/>
    </row>
    <row r="591" spans="2:7" x14ac:dyDescent="0.2">
      <c r="B591" s="550"/>
      <c r="C591" s="530"/>
      <c r="D591" s="530"/>
      <c r="E591" s="530"/>
      <c r="F591" s="530"/>
      <c r="G591" s="562"/>
    </row>
    <row r="592" spans="2:7" x14ac:dyDescent="0.2">
      <c r="B592" s="661" t="s">
        <v>376</v>
      </c>
      <c r="C592" s="788"/>
      <c r="D592" s="788"/>
      <c r="E592" s="788"/>
      <c r="F592" s="788"/>
      <c r="G592" s="662"/>
    </row>
    <row r="593" spans="2:7" x14ac:dyDescent="0.2">
      <c r="B593" s="566" t="s">
        <v>337</v>
      </c>
      <c r="C593" s="530"/>
      <c r="D593" s="530"/>
      <c r="E593" s="530"/>
      <c r="F593" s="530"/>
      <c r="G593" s="562"/>
    </row>
    <row r="594" spans="2:7" x14ac:dyDescent="0.2">
      <c r="B594" s="550" t="s">
        <v>171</v>
      </c>
      <c r="C594" s="530" t="s">
        <v>342</v>
      </c>
      <c r="D594" s="781">
        <v>50</v>
      </c>
      <c r="E594" s="530"/>
      <c r="F594" s="530"/>
      <c r="G594" s="562"/>
    </row>
    <row r="595" spans="2:7" x14ac:dyDescent="0.2">
      <c r="B595" s="550" t="s">
        <v>419</v>
      </c>
      <c r="C595" s="530" t="s">
        <v>329</v>
      </c>
      <c r="D595" s="231">
        <f>I11</f>
        <v>36491</v>
      </c>
      <c r="E595" s="530" t="s">
        <v>420</v>
      </c>
      <c r="F595" s="530"/>
      <c r="G595" s="562"/>
    </row>
    <row r="596" spans="2:7" x14ac:dyDescent="0.2">
      <c r="B596" s="550" t="s">
        <v>381</v>
      </c>
      <c r="C596" s="530" t="s">
        <v>379</v>
      </c>
      <c r="D596" s="772">
        <v>0.3</v>
      </c>
      <c r="E596" s="530" t="s">
        <v>380</v>
      </c>
      <c r="F596" s="530"/>
      <c r="G596" s="562"/>
    </row>
    <row r="597" spans="2:7" x14ac:dyDescent="0.2">
      <c r="B597" s="550" t="s">
        <v>381</v>
      </c>
      <c r="C597" s="530" t="s">
        <v>329</v>
      </c>
      <c r="D597" s="231">
        <f>D596*D595</f>
        <v>10947.3</v>
      </c>
      <c r="E597" s="530"/>
      <c r="F597" s="530"/>
      <c r="G597" s="562"/>
    </row>
    <row r="598" spans="2:7" ht="13.5" thickBot="1" x14ac:dyDescent="0.25">
      <c r="B598" s="563" t="s">
        <v>169</v>
      </c>
      <c r="C598" s="564" t="s">
        <v>329</v>
      </c>
      <c r="D598" s="663">
        <f>[2]Massing!C114</f>
        <v>52682</v>
      </c>
      <c r="E598" s="564"/>
      <c r="F598" s="564"/>
      <c r="G598" s="565"/>
    </row>
  </sheetData>
  <pageMargins left="0.7" right="0.7" top="0.75" bottom="0.75" header="0.3" footer="0.3"/>
  <pageSetup paperSize="3" scale="125" orientation="landscape" horizontalDpi="1200" verticalDpi="1200" r:id="rId1"/>
  <headerFooter>
    <oddHeader xml:space="preserve">&amp;LSupplement Sheets : Building Summary
 &amp;CTEAM : 2021 -1920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9B49-C6ED-4BAA-97C8-4A9541BF961A}">
  <dimension ref="B3:T115"/>
  <sheetViews>
    <sheetView zoomScale="70" zoomScaleNormal="70" workbookViewId="0">
      <selection activeCell="U9" sqref="A1:XFD1048576"/>
    </sheetView>
  </sheetViews>
  <sheetFormatPr defaultRowHeight="12.75" x14ac:dyDescent="0.2"/>
  <cols>
    <col min="2" max="2" width="21.28515625" customWidth="1"/>
    <col min="3" max="3" width="15.28515625" customWidth="1"/>
    <col min="4" max="4" width="10.85546875" bestFit="1" customWidth="1"/>
    <col min="18" max="18" width="24" customWidth="1"/>
    <col min="19" max="19" width="17.7109375" customWidth="1"/>
    <col min="20" max="20" width="15.42578125" customWidth="1"/>
  </cols>
  <sheetData>
    <row r="3" spans="2:20" x14ac:dyDescent="0.2">
      <c r="B3" s="792" t="s">
        <v>637</v>
      </c>
    </row>
    <row r="4" spans="2:20" x14ac:dyDescent="0.2">
      <c r="B4">
        <v>1</v>
      </c>
      <c r="R4" s="791" t="s">
        <v>637</v>
      </c>
      <c r="T4" s="791" t="s">
        <v>117</v>
      </c>
    </row>
    <row r="5" spans="2:20" x14ac:dyDescent="0.2">
      <c r="B5" s="795" t="s">
        <v>638</v>
      </c>
      <c r="C5" s="791" t="s">
        <v>656</v>
      </c>
      <c r="R5" s="791" t="s">
        <v>653</v>
      </c>
      <c r="S5" s="797">
        <f>C14+C33+C48</f>
        <v>608</v>
      </c>
      <c r="T5" s="794">
        <f>C115</f>
        <v>236</v>
      </c>
    </row>
    <row r="6" spans="2:20" x14ac:dyDescent="0.2">
      <c r="D6" s="791"/>
      <c r="R6" s="791" t="s">
        <v>652</v>
      </c>
      <c r="S6" s="797">
        <f>D67</f>
        <v>249</v>
      </c>
      <c r="T6">
        <v>0</v>
      </c>
    </row>
    <row r="7" spans="2:20" x14ac:dyDescent="0.2">
      <c r="B7" s="792" t="s">
        <v>641</v>
      </c>
      <c r="D7" s="793">
        <f>'Building Summary'!D408</f>
        <v>95362</v>
      </c>
      <c r="E7" s="791" t="s">
        <v>329</v>
      </c>
      <c r="F7">
        <f>D7/43560</f>
        <v>2.18921028466483</v>
      </c>
      <c r="G7" s="791" t="s">
        <v>642</v>
      </c>
      <c r="R7" s="791" t="s">
        <v>647</v>
      </c>
      <c r="S7" s="797">
        <f>D68</f>
        <v>202</v>
      </c>
      <c r="T7">
        <v>0</v>
      </c>
    </row>
    <row r="8" spans="2:20" x14ac:dyDescent="0.2">
      <c r="B8" s="791" t="s">
        <v>643</v>
      </c>
      <c r="C8" s="791" t="s">
        <v>487</v>
      </c>
      <c r="R8" s="791" t="s">
        <v>646</v>
      </c>
      <c r="S8" s="797">
        <f>F33+F14+F48+F58+F65</f>
        <v>499.80563744144115</v>
      </c>
      <c r="T8">
        <f>F115</f>
        <v>470.48787185354689</v>
      </c>
    </row>
    <row r="9" spans="2:20" x14ac:dyDescent="0.2">
      <c r="B9" s="791" t="s">
        <v>365</v>
      </c>
      <c r="C9" s="793">
        <f>'Building Summary'!D409</f>
        <v>104564</v>
      </c>
      <c r="D9" s="791" t="s">
        <v>329</v>
      </c>
      <c r="R9" s="791" t="s">
        <v>648</v>
      </c>
      <c r="S9" s="797">
        <f>SUM('Building Summary'!D581:F581,'Building Summary'!D491:G491,'Building Summary'!D386:E386,'Building Summary'!D292:E292,'Building Summary'!D216:E216)</f>
        <v>2401</v>
      </c>
      <c r="T9" s="796">
        <f>SUM('Building Summary'!D77:F77,'Building Summary'!D143:E143)</f>
        <v>1103</v>
      </c>
    </row>
    <row r="10" spans="2:20" x14ac:dyDescent="0.2">
      <c r="B10" s="791" t="s">
        <v>61</v>
      </c>
      <c r="C10" s="793">
        <f>'Building Summary'!D412</f>
        <v>23954</v>
      </c>
      <c r="D10" s="791" t="s">
        <v>329</v>
      </c>
      <c r="R10" s="791" t="s">
        <v>649</v>
      </c>
      <c r="S10" s="797">
        <f>S9*0.05</f>
        <v>120.05000000000001</v>
      </c>
      <c r="T10" s="797">
        <f>T9*0.05</f>
        <v>55.150000000000006</v>
      </c>
    </row>
    <row r="11" spans="2:20" x14ac:dyDescent="0.2">
      <c r="B11" s="791" t="s">
        <v>639</v>
      </c>
      <c r="C11" s="793">
        <f>'Building Summary'!D411</f>
        <v>71791</v>
      </c>
      <c r="D11" s="791" t="s">
        <v>329</v>
      </c>
    </row>
    <row r="12" spans="2:20" x14ac:dyDescent="0.2">
      <c r="B12" s="791" t="s">
        <v>640</v>
      </c>
      <c r="C12" s="793">
        <f>'Building Summary'!D410</f>
        <v>150177</v>
      </c>
      <c r="D12" s="791" t="s">
        <v>329</v>
      </c>
      <c r="R12" s="791" t="s">
        <v>650</v>
      </c>
      <c r="S12" s="798">
        <f>SUM('Summary Board'!E29:J29)*-1</f>
        <v>184823249.2288973</v>
      </c>
    </row>
    <row r="13" spans="2:20" x14ac:dyDescent="0.2">
      <c r="R13" s="791" t="s">
        <v>118</v>
      </c>
      <c r="S13" s="800">
        <f>SUM('Summary Board'!E30:I30)*-1</f>
        <v>43147590.714257821</v>
      </c>
    </row>
    <row r="14" spans="2:20" x14ac:dyDescent="0.2">
      <c r="B14" s="791" t="s">
        <v>644</v>
      </c>
      <c r="C14" s="794">
        <f>'Building Summary'!D420+'Building Summary'!E420+'Building Summary'!F420</f>
        <v>130</v>
      </c>
      <c r="F14">
        <f>C14/F7</f>
        <v>59.382143830876032</v>
      </c>
      <c r="G14" s="791" t="s">
        <v>645</v>
      </c>
      <c r="R14" s="791" t="s">
        <v>52</v>
      </c>
      <c r="S14" s="799">
        <f>SUM('Summary Board'!E25:J25)*-1</f>
        <v>24562620.220000003</v>
      </c>
    </row>
    <row r="16" spans="2:20" x14ac:dyDescent="0.2">
      <c r="S16" s="791" t="s">
        <v>637</v>
      </c>
      <c r="T16" s="791" t="s">
        <v>117</v>
      </c>
    </row>
    <row r="17" spans="2:20" x14ac:dyDescent="0.2">
      <c r="R17" s="791" t="s">
        <v>86</v>
      </c>
      <c r="S17" s="798">
        <f>'Summary Board'!J75</f>
        <v>8064729.6148915756</v>
      </c>
      <c r="T17" s="798"/>
    </row>
    <row r="18" spans="2:20" x14ac:dyDescent="0.2">
      <c r="R18" s="791" t="s">
        <v>665</v>
      </c>
      <c r="S18" s="798">
        <f>'Summary Board'!J74</f>
        <v>45700134.484385587</v>
      </c>
      <c r="T18" s="798"/>
    </row>
    <row r="19" spans="2:20" x14ac:dyDescent="0.2">
      <c r="R19" s="791" t="s">
        <v>666</v>
      </c>
      <c r="S19" s="798">
        <f>0.6*'Summary Board'!$J$80</f>
        <v>99709276.463027969</v>
      </c>
      <c r="T19" s="798">
        <f>0.4*'Summary Board'!$J$80</f>
        <v>66472850.975351982</v>
      </c>
    </row>
    <row r="20" spans="2:20" x14ac:dyDescent="0.2">
      <c r="R20" s="791" t="s">
        <v>192</v>
      </c>
      <c r="S20" s="798">
        <f>0.6*'Summary Board'!$J$81</f>
        <v>81013787.126210228</v>
      </c>
      <c r="T20" s="798">
        <f>0.4*'Summary Board'!$J$81</f>
        <v>54009191.417473488</v>
      </c>
    </row>
    <row r="21" spans="2:20" x14ac:dyDescent="0.2">
      <c r="R21" s="791" t="s">
        <v>217</v>
      </c>
      <c r="S21" s="798">
        <f>0.5*'Summary Board'!$J$87</f>
        <v>747841.63726916723</v>
      </c>
      <c r="T21" s="798">
        <f>0.5*'Summary Board'!$J$87</f>
        <v>747841.63726916723</v>
      </c>
    </row>
    <row r="22" spans="2:20" x14ac:dyDescent="0.2">
      <c r="R22" s="791" t="s">
        <v>667</v>
      </c>
      <c r="S22" s="798">
        <f>0.6*'Summary Board'!$J$89</f>
        <v>3699090</v>
      </c>
      <c r="T22" s="798">
        <f>0.4*'Summary Board'!$J$89</f>
        <v>2466060</v>
      </c>
    </row>
    <row r="23" spans="2:20" x14ac:dyDescent="0.2">
      <c r="B23">
        <v>2</v>
      </c>
      <c r="R23" s="791" t="s">
        <v>612</v>
      </c>
      <c r="S23" s="798">
        <f>0.6*'Summary Board'!$J$88</f>
        <v>7211927.2659999989</v>
      </c>
      <c r="T23" s="798">
        <f>0.4*'Summary Board'!$J$88</f>
        <v>4807951.5106666666</v>
      </c>
    </row>
    <row r="24" spans="2:20" x14ac:dyDescent="0.2">
      <c r="B24" s="795" t="s">
        <v>651</v>
      </c>
      <c r="C24" s="791" t="s">
        <v>657</v>
      </c>
      <c r="S24" s="798">
        <f>SUM(S17:S23)</f>
        <v>246146786.59178454</v>
      </c>
      <c r="T24" s="798">
        <f>SUM(T17:T23)</f>
        <v>128503895.54076131</v>
      </c>
    </row>
    <row r="26" spans="2:20" x14ac:dyDescent="0.2">
      <c r="B26" s="792" t="s">
        <v>641</v>
      </c>
      <c r="D26" s="793">
        <f>'Building Summary'!D512</f>
        <v>98180</v>
      </c>
      <c r="E26" s="791" t="s">
        <v>329</v>
      </c>
      <c r="F26">
        <f>D26/43560</f>
        <v>2.2539026629935721</v>
      </c>
      <c r="G26" s="791" t="s">
        <v>642</v>
      </c>
    </row>
    <row r="27" spans="2:20" x14ac:dyDescent="0.2">
      <c r="B27" s="791" t="s">
        <v>643</v>
      </c>
      <c r="C27" s="791" t="s">
        <v>487</v>
      </c>
    </row>
    <row r="28" spans="2:20" x14ac:dyDescent="0.2">
      <c r="B28" s="791" t="s">
        <v>365</v>
      </c>
      <c r="C28" s="793">
        <f>'Building Summary'!D513</f>
        <v>200765</v>
      </c>
      <c r="D28" s="791" t="s">
        <v>329</v>
      </c>
    </row>
    <row r="29" spans="2:20" x14ac:dyDescent="0.2">
      <c r="B29" s="791" t="s">
        <v>61</v>
      </c>
      <c r="C29" s="793">
        <f>'Building Summary'!D515</f>
        <v>14822</v>
      </c>
      <c r="D29" s="791" t="s">
        <v>329</v>
      </c>
    </row>
    <row r="30" spans="2:20" x14ac:dyDescent="0.2">
      <c r="B30" s="791" t="s">
        <v>386</v>
      </c>
      <c r="C30" s="793">
        <f>'Building Summary'!D514</f>
        <v>81535</v>
      </c>
      <c r="D30" s="791" t="s">
        <v>329</v>
      </c>
    </row>
    <row r="31" spans="2:20" x14ac:dyDescent="0.2">
      <c r="B31" s="791"/>
      <c r="C31" s="793"/>
      <c r="D31" s="791"/>
    </row>
    <row r="33" spans="2:7" x14ac:dyDescent="0.2">
      <c r="B33" s="791" t="s">
        <v>644</v>
      </c>
      <c r="C33" s="794">
        <f>'Building Summary'!D523+'Building Summary'!E523+'Building Summary'!F523</f>
        <v>249</v>
      </c>
      <c r="F33">
        <f>C33/F26</f>
        <v>110.47504583418211</v>
      </c>
      <c r="G33" s="791" t="s">
        <v>645</v>
      </c>
    </row>
    <row r="38" spans="2:7" x14ac:dyDescent="0.2">
      <c r="B38">
        <v>3</v>
      </c>
    </row>
    <row r="39" spans="2:7" x14ac:dyDescent="0.2">
      <c r="B39" s="795" t="s">
        <v>654</v>
      </c>
      <c r="C39" s="791" t="s">
        <v>655</v>
      </c>
    </row>
    <row r="41" spans="2:7" x14ac:dyDescent="0.2">
      <c r="B41" s="792" t="s">
        <v>641</v>
      </c>
      <c r="D41" s="793">
        <f>'Building Summary'!D315/2</f>
        <v>43497</v>
      </c>
      <c r="E41" s="791" t="s">
        <v>329</v>
      </c>
      <c r="F41">
        <f>D41/43560</f>
        <v>0.99855371900826451</v>
      </c>
      <c r="G41" s="791" t="s">
        <v>642</v>
      </c>
    </row>
    <row r="42" spans="2:7" x14ac:dyDescent="0.2">
      <c r="B42" s="791" t="s">
        <v>643</v>
      </c>
      <c r="C42" s="791" t="s">
        <v>487</v>
      </c>
    </row>
    <row r="43" spans="2:7" x14ac:dyDescent="0.2">
      <c r="B43" s="791" t="s">
        <v>365</v>
      </c>
      <c r="C43" s="793">
        <f>'Building Summary'!D319</f>
        <v>185000</v>
      </c>
      <c r="D43" s="791" t="s">
        <v>329</v>
      </c>
    </row>
    <row r="44" spans="2:7" x14ac:dyDescent="0.2">
      <c r="B44" s="791" t="s">
        <v>61</v>
      </c>
      <c r="C44" s="793">
        <f>Massing!E87</f>
        <v>16604</v>
      </c>
      <c r="D44" s="791" t="s">
        <v>329</v>
      </c>
    </row>
    <row r="45" spans="2:7" x14ac:dyDescent="0.2">
      <c r="B45" s="791"/>
      <c r="C45" s="793"/>
      <c r="D45" s="791"/>
    </row>
    <row r="46" spans="2:7" x14ac:dyDescent="0.2">
      <c r="B46" s="791"/>
      <c r="C46" s="793"/>
      <c r="D46" s="791"/>
    </row>
    <row r="48" spans="2:7" x14ac:dyDescent="0.2">
      <c r="B48" s="791" t="s">
        <v>644</v>
      </c>
      <c r="C48" s="794">
        <f>'Building Summary'!D349+'Building Summary'!E349+'Building Summary'!F349</f>
        <v>229</v>
      </c>
      <c r="F48">
        <f>C48/F41</f>
        <v>229.33167804676182</v>
      </c>
      <c r="G48" s="791" t="s">
        <v>645</v>
      </c>
    </row>
    <row r="55" spans="2:7" x14ac:dyDescent="0.2">
      <c r="B55" s="791" t="s">
        <v>668</v>
      </c>
    </row>
    <row r="56" spans="2:7" x14ac:dyDescent="0.2">
      <c r="B56" s="795" t="s">
        <v>659</v>
      </c>
      <c r="C56" s="791" t="s">
        <v>658</v>
      </c>
    </row>
    <row r="58" spans="2:7" x14ac:dyDescent="0.2">
      <c r="B58" s="792" t="s">
        <v>641</v>
      </c>
      <c r="D58" s="793">
        <f>0.5*'Building Summary'!D315+'Building Summary'!D239+'Building Summary'!D164</f>
        <v>204823.3</v>
      </c>
      <c r="E58" s="791" t="s">
        <v>329</v>
      </c>
      <c r="F58">
        <f>D58/43560</f>
        <v>4.7020959595959591</v>
      </c>
      <c r="G58" s="791" t="s">
        <v>642</v>
      </c>
    </row>
    <row r="59" spans="2:7" x14ac:dyDescent="0.2">
      <c r="B59" s="791" t="s">
        <v>643</v>
      </c>
      <c r="C59" s="791" t="s">
        <v>487</v>
      </c>
    </row>
    <row r="60" spans="2:7" x14ac:dyDescent="0.2">
      <c r="B60" s="791" t="s">
        <v>365</v>
      </c>
      <c r="C60" s="793">
        <f>C67+C68</f>
        <v>414401</v>
      </c>
      <c r="D60" s="791" t="s">
        <v>329</v>
      </c>
    </row>
    <row r="61" spans="2:7" x14ac:dyDescent="0.2">
      <c r="B61" s="791" t="s">
        <v>61</v>
      </c>
      <c r="C61" s="793">
        <f>C69+C70+C71</f>
        <v>71046</v>
      </c>
      <c r="D61" s="791" t="s">
        <v>329</v>
      </c>
    </row>
    <row r="62" spans="2:7" x14ac:dyDescent="0.2">
      <c r="B62" s="791"/>
      <c r="C62" s="793"/>
      <c r="D62" s="791"/>
    </row>
    <row r="63" spans="2:7" x14ac:dyDescent="0.2">
      <c r="B63" s="791"/>
      <c r="C63" s="793"/>
      <c r="D63" s="791"/>
    </row>
    <row r="65" spans="2:7" x14ac:dyDescent="0.2">
      <c r="B65" s="791" t="s">
        <v>644</v>
      </c>
      <c r="C65" s="794">
        <f>SUM('Building Summary'!D178:G178,'Building Summary'!D253:G253,'Building Summary'!D329:G329)</f>
        <v>451</v>
      </c>
      <c r="F65">
        <f>C65/F58</f>
        <v>95.914673770025203</v>
      </c>
      <c r="G65" s="791" t="s">
        <v>645</v>
      </c>
    </row>
    <row r="66" spans="2:7" x14ac:dyDescent="0.2">
      <c r="B66" s="791" t="s">
        <v>661</v>
      </c>
    </row>
    <row r="67" spans="2:7" x14ac:dyDescent="0.2">
      <c r="B67" s="791" t="s">
        <v>660</v>
      </c>
      <c r="C67" s="793">
        <f>'Building Summary'!D242+'Building Summary'!D317+'Building Summary'!D167</f>
        <v>248640.6</v>
      </c>
      <c r="D67" s="793">
        <f>SUM('Building Summary'!D178:E178,'Building Summary'!D253:E253,'Building Summary'!D329:E329)</f>
        <v>249</v>
      </c>
    </row>
    <row r="68" spans="2:7" x14ac:dyDescent="0.2">
      <c r="B68" s="791" t="s">
        <v>9</v>
      </c>
      <c r="C68" s="793">
        <f>'Building Summary'!D168+'Building Summary'!D243+'Building Summary'!D318</f>
        <v>165760.4</v>
      </c>
      <c r="D68" s="793">
        <f>SUM('Building Summary'!F329:G329,'Building Summary'!F253:G253,'Building Summary'!F178:G178)</f>
        <v>202</v>
      </c>
    </row>
    <row r="69" spans="2:7" x14ac:dyDescent="0.2">
      <c r="B69" s="791" t="s">
        <v>662</v>
      </c>
      <c r="C69" s="793">
        <f>Massing!E79</f>
        <v>14510</v>
      </c>
    </row>
    <row r="70" spans="2:7" x14ac:dyDescent="0.2">
      <c r="B70" s="791" t="s">
        <v>663</v>
      </c>
      <c r="C70" s="793">
        <f>'Building Summary'!D244</f>
        <v>28579</v>
      </c>
    </row>
    <row r="71" spans="2:7" x14ac:dyDescent="0.2">
      <c r="B71" s="791" t="s">
        <v>664</v>
      </c>
      <c r="C71" s="793">
        <f>'Building Summary'!D169</f>
        <v>27957</v>
      </c>
    </row>
    <row r="73" spans="2:7" x14ac:dyDescent="0.2">
      <c r="B73" s="791">
        <v>10</v>
      </c>
    </row>
    <row r="74" spans="2:7" x14ac:dyDescent="0.2">
      <c r="B74" s="795" t="s">
        <v>669</v>
      </c>
      <c r="C74" s="791" t="s">
        <v>670</v>
      </c>
    </row>
    <row r="76" spans="2:7" x14ac:dyDescent="0.2">
      <c r="B76" s="792" t="s">
        <v>641</v>
      </c>
      <c r="D76" s="793">
        <f>'Building Summary'!D98</f>
        <v>100303</v>
      </c>
      <c r="E76" s="791" t="s">
        <v>329</v>
      </c>
      <c r="F76">
        <f>D76/43560</f>
        <v>2.3026400367309456</v>
      </c>
      <c r="G76" s="791" t="s">
        <v>642</v>
      </c>
    </row>
    <row r="77" spans="2:7" x14ac:dyDescent="0.2">
      <c r="B77" s="791" t="s">
        <v>643</v>
      </c>
      <c r="C77" s="791" t="s">
        <v>487</v>
      </c>
    </row>
    <row r="78" spans="2:7" x14ac:dyDescent="0.2">
      <c r="B78" s="791" t="s">
        <v>671</v>
      </c>
      <c r="C78" s="793">
        <f>'Building Summary'!D99</f>
        <v>172229</v>
      </c>
      <c r="D78" s="791" t="s">
        <v>329</v>
      </c>
    </row>
    <row r="79" spans="2:7" x14ac:dyDescent="0.2">
      <c r="B79" s="791" t="s">
        <v>386</v>
      </c>
      <c r="C79" s="793">
        <f>'Building Summary'!D100</f>
        <v>112838</v>
      </c>
      <c r="D79" s="791" t="s">
        <v>329</v>
      </c>
    </row>
    <row r="80" spans="2:7" x14ac:dyDescent="0.2">
      <c r="B80" s="791"/>
      <c r="C80" s="793"/>
      <c r="D80" s="791"/>
    </row>
    <row r="81" spans="2:7" x14ac:dyDescent="0.2">
      <c r="B81" s="791"/>
      <c r="C81" s="793"/>
      <c r="D81" s="791"/>
    </row>
    <row r="83" spans="2:7" x14ac:dyDescent="0.2">
      <c r="B83" s="791" t="s">
        <v>644</v>
      </c>
      <c r="C83" s="794">
        <v>0</v>
      </c>
      <c r="F83">
        <f>C83/F76</f>
        <v>0</v>
      </c>
      <c r="G83" s="791" t="s">
        <v>645</v>
      </c>
    </row>
    <row r="84" spans="2:7" x14ac:dyDescent="0.2">
      <c r="B84" s="791"/>
    </row>
    <row r="85" spans="2:7" x14ac:dyDescent="0.2">
      <c r="B85" s="791">
        <v>9</v>
      </c>
      <c r="C85" s="793"/>
      <c r="D85" s="793"/>
    </row>
    <row r="86" spans="2:7" x14ac:dyDescent="0.2">
      <c r="B86" s="795" t="s">
        <v>636</v>
      </c>
      <c r="C86" s="791" t="s">
        <v>672</v>
      </c>
    </row>
    <row r="88" spans="2:7" x14ac:dyDescent="0.2">
      <c r="B88" s="792" t="s">
        <v>641</v>
      </c>
      <c r="D88" s="793">
        <f>0.6*'Building Summary'!D5</f>
        <v>32775</v>
      </c>
      <c r="E88" s="791" t="s">
        <v>329</v>
      </c>
      <c r="F88">
        <f>D88/43560</f>
        <v>0.75241046831955927</v>
      </c>
      <c r="G88" s="791" t="s">
        <v>642</v>
      </c>
    </row>
    <row r="89" spans="2:7" x14ac:dyDescent="0.2">
      <c r="B89" s="791" t="s">
        <v>643</v>
      </c>
      <c r="C89" s="791" t="s">
        <v>487</v>
      </c>
    </row>
    <row r="90" spans="2:7" x14ac:dyDescent="0.2">
      <c r="B90" s="791" t="s">
        <v>671</v>
      </c>
      <c r="C90" s="793">
        <f>SUM(Massing!E26:E29)</f>
        <v>54897.8</v>
      </c>
      <c r="D90" s="791" t="s">
        <v>329</v>
      </c>
    </row>
    <row r="91" spans="2:7" x14ac:dyDescent="0.2">
      <c r="B91" s="791"/>
      <c r="C91" s="793"/>
      <c r="D91" s="791" t="s">
        <v>329</v>
      </c>
    </row>
    <row r="92" spans="2:7" x14ac:dyDescent="0.2">
      <c r="B92" s="791"/>
      <c r="C92" s="793"/>
      <c r="D92" s="791"/>
    </row>
    <row r="93" spans="2:7" x14ac:dyDescent="0.2">
      <c r="B93" s="791"/>
      <c r="C93" s="793"/>
      <c r="D93" s="791"/>
    </row>
    <row r="95" spans="2:7" x14ac:dyDescent="0.2">
      <c r="B95" s="791" t="s">
        <v>644</v>
      </c>
      <c r="C95" s="794">
        <v>0</v>
      </c>
      <c r="F95">
        <f>C95/F88</f>
        <v>0</v>
      </c>
      <c r="G95" s="791" t="s">
        <v>645</v>
      </c>
    </row>
    <row r="105" spans="2:7" x14ac:dyDescent="0.2">
      <c r="B105">
        <v>8</v>
      </c>
    </row>
    <row r="106" spans="2:7" x14ac:dyDescent="0.2">
      <c r="B106" s="795" t="s">
        <v>636</v>
      </c>
      <c r="C106" s="791" t="s">
        <v>673</v>
      </c>
    </row>
    <row r="108" spans="2:7" x14ac:dyDescent="0.2">
      <c r="B108" s="792" t="s">
        <v>641</v>
      </c>
      <c r="D108" s="793">
        <f>0.4*'Building Summary'!D5</f>
        <v>21850</v>
      </c>
      <c r="E108" s="791" t="s">
        <v>329</v>
      </c>
      <c r="F108">
        <f>D108/43560</f>
        <v>0.50160697887970618</v>
      </c>
      <c r="G108" s="791" t="s">
        <v>642</v>
      </c>
    </row>
    <row r="109" spans="2:7" x14ac:dyDescent="0.2">
      <c r="B109" s="791" t="s">
        <v>643</v>
      </c>
      <c r="C109" s="791" t="s">
        <v>487</v>
      </c>
    </row>
    <row r="110" spans="2:7" x14ac:dyDescent="0.2">
      <c r="B110" s="791" t="s">
        <v>418</v>
      </c>
      <c r="C110" s="793">
        <f>SUM(Massing!E17:E20)</f>
        <v>171362</v>
      </c>
      <c r="D110" s="791" t="s">
        <v>329</v>
      </c>
    </row>
    <row r="111" spans="2:7" x14ac:dyDescent="0.2">
      <c r="B111" s="791" t="s">
        <v>61</v>
      </c>
      <c r="C111" s="793">
        <f>Massing!E16</f>
        <v>5000</v>
      </c>
      <c r="D111" s="791" t="s">
        <v>329</v>
      </c>
    </row>
    <row r="112" spans="2:7" x14ac:dyDescent="0.2">
      <c r="B112" s="791"/>
      <c r="C112" s="793"/>
      <c r="D112" s="791"/>
    </row>
    <row r="113" spans="2:7" x14ac:dyDescent="0.2">
      <c r="B113" s="791"/>
      <c r="C113" s="793"/>
      <c r="D113" s="791"/>
    </row>
    <row r="115" spans="2:7" x14ac:dyDescent="0.2">
      <c r="B115" s="791" t="s">
        <v>644</v>
      </c>
      <c r="C115" s="794">
        <f>'Building Summary'!D27+'Building Summary'!E27+'Building Summary'!F27</f>
        <v>236</v>
      </c>
      <c r="F115">
        <f>C115/F108</f>
        <v>470.48787185354689</v>
      </c>
      <c r="G115" s="791" t="s">
        <v>645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3"/>
  <sheetViews>
    <sheetView view="pageLayout" topLeftCell="A23" zoomScaleNormal="100" workbookViewId="0">
      <selection activeCell="F10" sqref="F10"/>
    </sheetView>
  </sheetViews>
  <sheetFormatPr defaultColWidth="9.140625" defaultRowHeight="12.75" x14ac:dyDescent="0.2"/>
  <cols>
    <col min="1" max="1" width="23.5703125" style="1" customWidth="1"/>
    <col min="2" max="3" width="8.5703125" style="3" customWidth="1"/>
    <col min="4" max="13" width="8.5703125" style="1" customWidth="1"/>
    <col min="14" max="16384" width="9.140625" style="1"/>
  </cols>
  <sheetData>
    <row r="1" spans="1:13" ht="14.1" customHeight="1" x14ac:dyDescent="0.2">
      <c r="A1" s="89"/>
      <c r="B1" s="89"/>
      <c r="C1" s="88"/>
      <c r="D1" s="90"/>
      <c r="E1" s="90"/>
      <c r="F1" s="90"/>
      <c r="G1" s="90"/>
      <c r="H1" s="90"/>
      <c r="I1" s="90"/>
      <c r="J1" s="90"/>
      <c r="K1" s="90"/>
      <c r="L1" s="86" t="s">
        <v>1</v>
      </c>
      <c r="M1" s="87"/>
    </row>
    <row r="2" spans="1:13" ht="14.1" customHeight="1" x14ac:dyDescent="0.2"/>
    <row r="3" spans="1:13" ht="14.1" customHeight="1" x14ac:dyDescent="0.2">
      <c r="C3" s="3" t="s">
        <v>2</v>
      </c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</row>
    <row r="4" spans="1:13" ht="14.1" customHeight="1" x14ac:dyDescent="0.2">
      <c r="A4" s="5"/>
      <c r="B4" s="20" t="s">
        <v>58</v>
      </c>
      <c r="C4" s="81" t="s">
        <v>4</v>
      </c>
      <c r="D4" s="20">
        <v>2023</v>
      </c>
      <c r="E4" s="20">
        <f t="shared" ref="E4:M4" si="0">D4+1</f>
        <v>2024</v>
      </c>
      <c r="F4" s="20">
        <f t="shared" si="0"/>
        <v>2025</v>
      </c>
      <c r="G4" s="20">
        <f t="shared" si="0"/>
        <v>2026</v>
      </c>
      <c r="H4" s="20">
        <f t="shared" si="0"/>
        <v>2027</v>
      </c>
      <c r="I4" s="20">
        <f t="shared" si="0"/>
        <v>2028</v>
      </c>
      <c r="J4" s="20">
        <f t="shared" si="0"/>
        <v>2029</v>
      </c>
      <c r="K4" s="20">
        <f t="shared" si="0"/>
        <v>2030</v>
      </c>
      <c r="L4" s="20">
        <f t="shared" si="0"/>
        <v>2031</v>
      </c>
      <c r="M4" s="20">
        <f t="shared" si="0"/>
        <v>2032</v>
      </c>
    </row>
    <row r="5" spans="1:13" ht="18" customHeight="1" x14ac:dyDescent="0.2">
      <c r="A5" s="13" t="s">
        <v>78</v>
      </c>
      <c r="B5" s="43"/>
      <c r="C5" s="43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4.1" customHeight="1" x14ac:dyDescent="0.2">
      <c r="A6" s="12" t="s">
        <v>59</v>
      </c>
      <c r="B6" s="15">
        <v>0.02</v>
      </c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1" customHeight="1" x14ac:dyDescent="0.2">
      <c r="A7" s="12" t="s">
        <v>114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4.1" customHeight="1" x14ac:dyDescent="0.2">
      <c r="A8" s="12" t="s">
        <v>97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4.1" customHeight="1" x14ac:dyDescent="0.2">
      <c r="A9" s="91" t="s">
        <v>98</v>
      </c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4.1" customHeight="1" x14ac:dyDescent="0.2">
      <c r="A10" s="91" t="s">
        <v>99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4.1" customHeight="1" x14ac:dyDescent="0.2">
      <c r="A11" s="91" t="s">
        <v>100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4.1" customHeight="1" x14ac:dyDescent="0.2">
      <c r="A12" s="12" t="s">
        <v>101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4.1" customHeight="1" x14ac:dyDescent="0.2">
      <c r="A13" s="91" t="s">
        <v>102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4.1" customHeight="1" x14ac:dyDescent="0.2">
      <c r="A14" s="91" t="s">
        <v>103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4.1" customHeight="1" x14ac:dyDescent="0.2">
      <c r="A15" s="91" t="s">
        <v>104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4.1" customHeight="1" x14ac:dyDescent="0.2">
      <c r="A16" s="91" t="s">
        <v>105</v>
      </c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4.1" customHeight="1" x14ac:dyDescent="0.2">
      <c r="A17" s="91" t="s">
        <v>106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4.1" customHeight="1" x14ac:dyDescent="0.2">
      <c r="A18" s="91" t="s">
        <v>104</v>
      </c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4.1" customHeight="1" x14ac:dyDescent="0.2">
      <c r="A19" s="91" t="s">
        <v>105</v>
      </c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4.1" customHeight="1" x14ac:dyDescent="0.2">
      <c r="A20" s="91" t="s">
        <v>107</v>
      </c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4.1" customHeight="1" x14ac:dyDescent="0.2">
      <c r="A21" s="12" t="s">
        <v>108</v>
      </c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4.1" customHeight="1" x14ac:dyDescent="0.2">
      <c r="A22" s="21" t="s">
        <v>109</v>
      </c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8" customHeight="1" x14ac:dyDescent="0.2">
      <c r="A23" s="13" t="s">
        <v>21</v>
      </c>
      <c r="B23" s="43"/>
      <c r="C23" s="43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1" customHeight="1" x14ac:dyDescent="0.2">
      <c r="A24" s="12" t="s">
        <v>110</v>
      </c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1" customHeight="1" x14ac:dyDescent="0.2">
      <c r="A25" s="91" t="s">
        <v>111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1" customHeight="1" x14ac:dyDescent="0.2">
      <c r="A26" s="91" t="s">
        <v>112</v>
      </c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4.1" customHeight="1" x14ac:dyDescent="0.2">
      <c r="A27" s="12" t="s">
        <v>113</v>
      </c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4.1" customHeight="1" x14ac:dyDescent="0.2">
      <c r="A28" s="12" t="s">
        <v>108</v>
      </c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4.1" customHeight="1" x14ac:dyDescent="0.2">
      <c r="A29" s="5" t="s">
        <v>21</v>
      </c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8" customHeight="1" x14ac:dyDescent="0.2">
      <c r="A30" s="13" t="s">
        <v>15</v>
      </c>
      <c r="B30" s="43"/>
      <c r="C30" s="43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4.1" customHeight="1" x14ac:dyDescent="0.2">
      <c r="A31" s="12" t="s">
        <v>75</v>
      </c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4.1" customHeight="1" x14ac:dyDescent="0.2">
      <c r="A32" s="12" t="s">
        <v>15</v>
      </c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.1" customHeight="1" x14ac:dyDescent="0.2">
      <c r="A33" s="12" t="s">
        <v>52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4.1" customHeight="1" x14ac:dyDescent="0.2">
      <c r="A34" s="5" t="s">
        <v>19</v>
      </c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8" customHeight="1" x14ac:dyDescent="0.2">
      <c r="A35" s="13" t="s">
        <v>20</v>
      </c>
      <c r="B35" s="43"/>
      <c r="C35" s="43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4.1" customHeight="1" x14ac:dyDescent="0.2">
      <c r="A36" s="12" t="s">
        <v>21</v>
      </c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4.1" customHeight="1" x14ac:dyDescent="0.2">
      <c r="A37" s="12" t="s">
        <v>76</v>
      </c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4.1" customHeight="1" x14ac:dyDescent="0.2">
      <c r="A38" s="12" t="s">
        <v>77</v>
      </c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4.1" customHeight="1" x14ac:dyDescent="0.2">
      <c r="A39" s="12" t="s">
        <v>19</v>
      </c>
      <c r="B39" s="11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.1" customHeight="1" x14ac:dyDescent="0.2">
      <c r="A40" s="12" t="s">
        <v>24</v>
      </c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4.1" customHeight="1" x14ac:dyDescent="0.2">
      <c r="A41" s="5" t="s">
        <v>27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8" customHeight="1" x14ac:dyDescent="0.2">
      <c r="A42" s="7" t="s">
        <v>29</v>
      </c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 x14ac:dyDescent="0.2">
      <c r="A43" s="7" t="s">
        <v>31</v>
      </c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phoneticPr fontId="3" type="noConversion"/>
  <pageMargins left="0.5" right="0.5" top="1" bottom="0.5" header="0.5" footer="0.5"/>
  <pageSetup orientation="landscape" r:id="rId1"/>
  <headerFooter alignWithMargins="0">
    <oddHeader>&amp;L&amp;"Arial,Bold"11. Income Statement: Surface Parking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view="pageLayout" topLeftCell="A22" zoomScale="80" zoomScaleNormal="83" zoomScalePageLayoutView="80" workbookViewId="0">
      <selection activeCell="I16" sqref="I16:K16"/>
    </sheetView>
  </sheetViews>
  <sheetFormatPr defaultColWidth="11.5703125" defaultRowHeight="12.75" x14ac:dyDescent="0.2"/>
  <cols>
    <col min="1" max="1" width="4.28515625" style="1" customWidth="1"/>
    <col min="2" max="2" width="11.5703125" style="1"/>
    <col min="3" max="3" width="19.7109375" style="1" customWidth="1"/>
    <col min="4" max="4" width="12.42578125" style="3" bestFit="1" customWidth="1"/>
    <col min="5" max="5" width="14.140625" style="3" customWidth="1"/>
    <col min="6" max="6" width="11.7109375" style="3" bestFit="1" customWidth="1"/>
    <col min="7" max="7" width="11.7109375" style="1" bestFit="1" customWidth="1"/>
    <col min="8" max="9" width="11.85546875" style="1" bestFit="1" customWidth="1"/>
    <col min="10" max="15" width="11.7109375" style="1" bestFit="1" customWidth="1"/>
    <col min="16" max="16" width="11.5703125" style="1"/>
    <col min="17" max="17" width="0" style="1" hidden="1" customWidth="1"/>
    <col min="18" max="16384" width="11.5703125" style="1"/>
  </cols>
  <sheetData>
    <row r="1" spans="1:17" ht="14.1" customHeight="1" x14ac:dyDescent="0.2">
      <c r="B1" s="119" t="s">
        <v>176</v>
      </c>
      <c r="C1" s="119"/>
      <c r="D1" s="120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86" t="s">
        <v>119</v>
      </c>
    </row>
    <row r="2" spans="1:17" ht="14.1" customHeight="1" x14ac:dyDescent="0.2">
      <c r="H2" s="8"/>
      <c r="P2" s="2"/>
    </row>
    <row r="3" spans="1:17" ht="14.1" customHeight="1" x14ac:dyDescent="0.2">
      <c r="B3" s="48"/>
      <c r="C3" s="48"/>
      <c r="D3" s="74"/>
      <c r="E3" s="112" t="s">
        <v>2</v>
      </c>
      <c r="F3" s="102" t="s">
        <v>115</v>
      </c>
      <c r="G3" s="103"/>
      <c r="H3" s="104"/>
      <c r="I3" s="105" t="s">
        <v>116</v>
      </c>
      <c r="J3" s="106"/>
      <c r="K3" s="107"/>
      <c r="L3" s="108" t="s">
        <v>117</v>
      </c>
      <c r="M3" s="109"/>
      <c r="N3" s="111"/>
      <c r="O3" s="110"/>
    </row>
    <row r="4" spans="1:17" ht="14.1" customHeight="1" x14ac:dyDescent="0.2">
      <c r="B4" s="47"/>
      <c r="C4" s="47"/>
      <c r="D4" s="64" t="s">
        <v>58</v>
      </c>
      <c r="E4" s="113" t="s">
        <v>4</v>
      </c>
      <c r="F4" s="82">
        <v>2023</v>
      </c>
      <c r="G4" s="81">
        <f>F4+1</f>
        <v>2024</v>
      </c>
      <c r="H4" s="81">
        <f t="shared" ref="H4:M4" si="0">G4+1</f>
        <v>2025</v>
      </c>
      <c r="I4" s="81">
        <f t="shared" si="0"/>
        <v>2026</v>
      </c>
      <c r="J4" s="81">
        <f t="shared" si="0"/>
        <v>2027</v>
      </c>
      <c r="K4" s="81">
        <f t="shared" si="0"/>
        <v>2028</v>
      </c>
      <c r="L4" s="81">
        <f t="shared" si="0"/>
        <v>2029</v>
      </c>
      <c r="M4" s="81">
        <f t="shared" si="0"/>
        <v>2030</v>
      </c>
      <c r="N4" s="96">
        <f>M4+1</f>
        <v>2031</v>
      </c>
      <c r="O4" s="81">
        <f>N4+1</f>
        <v>2032</v>
      </c>
    </row>
    <row r="5" spans="1:17" ht="14.1" customHeight="1" x14ac:dyDescent="0.2">
      <c r="B5" s="55" t="s">
        <v>59</v>
      </c>
      <c r="C5" s="23"/>
      <c r="D5" s="75">
        <v>0.02</v>
      </c>
      <c r="E5" s="75"/>
      <c r="F5" s="75"/>
      <c r="G5" s="76"/>
      <c r="H5" s="76"/>
      <c r="I5" s="76"/>
      <c r="J5" s="76"/>
      <c r="K5" s="76"/>
      <c r="L5" s="76"/>
      <c r="M5" s="76"/>
      <c r="N5" s="76"/>
      <c r="O5" s="76"/>
    </row>
    <row r="6" spans="1:17" ht="18" customHeight="1" x14ac:dyDescent="0.2">
      <c r="B6" s="10" t="s">
        <v>60</v>
      </c>
      <c r="C6" s="10"/>
      <c r="D6" s="56"/>
      <c r="E6" s="56"/>
      <c r="F6" s="56"/>
      <c r="G6" s="50"/>
      <c r="H6" s="50"/>
      <c r="I6" s="50"/>
      <c r="J6" s="50"/>
      <c r="K6" s="50"/>
      <c r="L6" s="50"/>
      <c r="M6" s="50"/>
      <c r="N6" s="50"/>
      <c r="O6" s="50"/>
    </row>
    <row r="7" spans="1:17" ht="14.1" customHeight="1" x14ac:dyDescent="0.2">
      <c r="B7" s="808"/>
      <c r="C7" s="808"/>
      <c r="D7" s="78"/>
      <c r="E7" s="78"/>
      <c r="F7" s="78"/>
      <c r="G7" s="53"/>
      <c r="H7" s="53"/>
      <c r="I7" s="53"/>
      <c r="J7" s="53"/>
      <c r="K7" s="53"/>
      <c r="L7" s="53"/>
      <c r="M7" s="53"/>
      <c r="N7" s="53"/>
      <c r="O7" s="53"/>
    </row>
    <row r="8" spans="1:17" ht="14.1" customHeight="1" x14ac:dyDescent="0.2">
      <c r="B8" s="848" t="s">
        <v>62</v>
      </c>
      <c r="C8" s="848"/>
      <c r="D8" s="51"/>
      <c r="E8" s="51"/>
      <c r="F8" s="51"/>
      <c r="G8" s="54"/>
      <c r="H8" s="54"/>
      <c r="I8" s="54"/>
      <c r="J8" s="54"/>
      <c r="K8" s="54"/>
      <c r="L8" s="54"/>
      <c r="M8" s="54"/>
      <c r="N8" s="54"/>
      <c r="O8" s="54"/>
    </row>
    <row r="9" spans="1:17" ht="14.1" customHeight="1" x14ac:dyDescent="0.2">
      <c r="B9" s="10" t="s">
        <v>63</v>
      </c>
      <c r="C9" s="10"/>
      <c r="D9" s="79"/>
      <c r="E9" s="79"/>
      <c r="F9" s="79"/>
      <c r="G9" s="50"/>
      <c r="H9" s="50"/>
      <c r="I9" s="50"/>
      <c r="J9" s="50"/>
      <c r="K9" s="50"/>
      <c r="L9" s="50"/>
      <c r="M9" s="50"/>
      <c r="N9" s="50"/>
      <c r="O9" s="50"/>
    </row>
    <row r="10" spans="1:17" ht="14.1" customHeight="1" x14ac:dyDescent="0.2">
      <c r="B10" s="823" t="s">
        <v>174</v>
      </c>
      <c r="C10" s="823"/>
      <c r="D10" s="614">
        <f t="shared" ref="D10:D15" si="1">E29</f>
        <v>8</v>
      </c>
      <c r="E10" s="723"/>
      <c r="F10" s="723">
        <f>' Infrastructure Schedule'!E7*$D$10</f>
        <v>2244288</v>
      </c>
      <c r="G10" s="723">
        <f>' Infrastructure Schedule'!F7*$D$10</f>
        <v>0</v>
      </c>
      <c r="H10" s="723">
        <f>' Infrastructure Schedule'!G7*$D$10</f>
        <v>0</v>
      </c>
      <c r="I10" s="723">
        <f>' Infrastructure Schedule'!H7*$D$10</f>
        <v>1290610.3999999999</v>
      </c>
      <c r="J10" s="723">
        <f>' Infrastructure Schedule'!I7*$D$10</f>
        <v>0</v>
      </c>
      <c r="K10" s="723">
        <f>' Infrastructure Schedule'!J7*$D$10</f>
        <v>0</v>
      </c>
      <c r="L10" s="723">
        <f>' Infrastructure Schedule'!K7*$D$10</f>
        <v>1239424</v>
      </c>
      <c r="M10" s="723">
        <f>' Infrastructure Schedule'!L7*$D$10</f>
        <v>0</v>
      </c>
      <c r="N10" s="723">
        <f>' Infrastructure Schedule'!M7*$D$10</f>
        <v>0</v>
      </c>
      <c r="O10" s="723">
        <f>' Infrastructure Schedule'!N7*$D$10</f>
        <v>0</v>
      </c>
      <c r="Q10" s="357">
        <f>SUM(F10:O10)</f>
        <v>4774322.4000000004</v>
      </c>
    </row>
    <row r="11" spans="1:17" ht="14.1" customHeight="1" x14ac:dyDescent="0.2">
      <c r="B11" s="612"/>
      <c r="C11" s="612" t="s">
        <v>163</v>
      </c>
      <c r="D11" s="614">
        <f t="shared" si="1"/>
        <v>2</v>
      </c>
      <c r="E11" s="723"/>
      <c r="F11" s="723">
        <f>$D$11*' Infrastructure Schedule'!E8</f>
        <v>561072</v>
      </c>
      <c r="G11" s="723">
        <f>$D$11*' Infrastructure Schedule'!F8</f>
        <v>0</v>
      </c>
      <c r="H11" s="723">
        <f>$D$11*' Infrastructure Schedule'!G8</f>
        <v>0</v>
      </c>
      <c r="I11" s="723">
        <f>$D$11*' Infrastructure Schedule'!H8</f>
        <v>161326.29999999999</v>
      </c>
      <c r="J11" s="723">
        <f>$D$11*' Infrastructure Schedule'!I8</f>
        <v>161326.29999999999</v>
      </c>
      <c r="K11" s="723">
        <f>$D$11*' Infrastructure Schedule'!J8</f>
        <v>0</v>
      </c>
      <c r="L11" s="723">
        <f>$D$11*' Infrastructure Schedule'!K8</f>
        <v>154928</v>
      </c>
      <c r="M11" s="723">
        <f>$D$11*' Infrastructure Schedule'!L8</f>
        <v>154928</v>
      </c>
      <c r="N11" s="723">
        <f>$D$11*' Infrastructure Schedule'!M8</f>
        <v>0</v>
      </c>
      <c r="O11" s="723">
        <f>$D$11*' Infrastructure Schedule'!N8</f>
        <v>0</v>
      </c>
      <c r="Q11" s="357">
        <f t="shared" ref="Q11:Q21" si="2">SUM(F11:O11)</f>
        <v>1193580.6000000001</v>
      </c>
    </row>
    <row r="12" spans="1:17" ht="14.1" customHeight="1" x14ac:dyDescent="0.2">
      <c r="B12" s="612"/>
      <c r="C12" s="612" t="s">
        <v>172</v>
      </c>
      <c r="D12" s="614">
        <f t="shared" si="1"/>
        <v>10</v>
      </c>
      <c r="E12" s="723"/>
      <c r="F12" s="723">
        <f>$D$12*' Infrastructure Schedule'!E10</f>
        <v>13333.333333333332</v>
      </c>
      <c r="G12" s="723">
        <f>$D$12*' Infrastructure Schedule'!F10</f>
        <v>13333.333333333332</v>
      </c>
      <c r="H12" s="723">
        <f>$D$12*' Infrastructure Schedule'!G10</f>
        <v>13333.333333333332</v>
      </c>
      <c r="I12" s="723">
        <f>$D$12*' Infrastructure Schedule'!H10</f>
        <v>13333.333333333332</v>
      </c>
      <c r="J12" s="723">
        <f>$D$12*' Infrastructure Schedule'!I10</f>
        <v>13333.333333333332</v>
      </c>
      <c r="K12" s="723">
        <f>$D$12*' Infrastructure Schedule'!J10</f>
        <v>13333.333333333332</v>
      </c>
      <c r="L12" s="723">
        <f>$D$12*' Infrastructure Schedule'!K10</f>
        <v>10000</v>
      </c>
      <c r="M12" s="723">
        <f>$D$12*' Infrastructure Schedule'!L10</f>
        <v>10000</v>
      </c>
      <c r="N12" s="723">
        <f>$D$12*' Infrastructure Schedule'!M10</f>
        <v>10000</v>
      </c>
      <c r="O12" s="723">
        <f>$D$12*' Infrastructure Schedule'!N10</f>
        <v>10000</v>
      </c>
      <c r="Q12" s="357">
        <f t="shared" si="2"/>
        <v>119999.99999999999</v>
      </c>
    </row>
    <row r="13" spans="1:17" s="122" customFormat="1" ht="14.1" customHeight="1" x14ac:dyDescent="0.2">
      <c r="A13" s="1"/>
      <c r="B13" s="614"/>
      <c r="C13" s="612" t="s">
        <v>173</v>
      </c>
      <c r="D13" s="614">
        <f t="shared" si="1"/>
        <v>8</v>
      </c>
      <c r="E13" s="724"/>
      <c r="F13" s="724">
        <f>$D$13*' Infrastructure Schedule'!E9</f>
        <v>0</v>
      </c>
      <c r="G13" s="724">
        <f>$D$13*' Infrastructure Schedule'!F9</f>
        <v>0</v>
      </c>
      <c r="H13" s="724">
        <f>$D$13*' Infrastructure Schedule'!G9</f>
        <v>0</v>
      </c>
      <c r="I13" s="724">
        <f>$D$13*' Infrastructure Schedule'!H9</f>
        <v>360287.2</v>
      </c>
      <c r="J13" s="724">
        <f>$D$13*' Infrastructure Schedule'!I9</f>
        <v>360287.2</v>
      </c>
      <c r="K13" s="724">
        <f>$D$13*' Infrastructure Schedule'!J9</f>
        <v>0</v>
      </c>
      <c r="L13" s="724">
        <f>$D$13*' Infrastructure Schedule'!K9</f>
        <v>0</v>
      </c>
      <c r="M13" s="724">
        <f>$D$13*' Infrastructure Schedule'!L9</f>
        <v>0</v>
      </c>
      <c r="N13" s="724">
        <f>$D$13*' Infrastructure Schedule'!M9</f>
        <v>0</v>
      </c>
      <c r="O13" s="724">
        <f>$D$13*' Infrastructure Schedule'!N9</f>
        <v>0</v>
      </c>
      <c r="P13" s="1"/>
      <c r="Q13" s="357">
        <f t="shared" si="2"/>
        <v>720574.4</v>
      </c>
    </row>
    <row r="14" spans="1:17" ht="14.1" customHeight="1" x14ac:dyDescent="0.2">
      <c r="B14" s="614"/>
      <c r="C14" s="612" t="str">
        <f>' Infrastructure Schedule'!B14</f>
        <v>Road Construction</v>
      </c>
      <c r="D14" s="614">
        <f t="shared" si="1"/>
        <v>50</v>
      </c>
      <c r="E14" s="724"/>
      <c r="F14" s="724">
        <f>$D$14*' Infrastructure Schedule'!E14</f>
        <v>95400</v>
      </c>
      <c r="G14" s="724">
        <f>$D$14*' Infrastructure Schedule'!F14</f>
        <v>95400</v>
      </c>
      <c r="H14" s="724">
        <f>$D$14*' Infrastructure Schedule'!G14</f>
        <v>0</v>
      </c>
      <c r="I14" s="724">
        <f>$D$14*' Infrastructure Schedule'!H14</f>
        <v>97100</v>
      </c>
      <c r="J14" s="724">
        <f>$D$14*' Infrastructure Schedule'!I14</f>
        <v>97100</v>
      </c>
      <c r="K14" s="724">
        <f>$D$14*' Infrastructure Schedule'!J14</f>
        <v>0</v>
      </c>
      <c r="L14" s="724">
        <f>$D$14*' Infrastructure Schedule'!K14</f>
        <v>0</v>
      </c>
      <c r="M14" s="724">
        <f>$D$14*' Infrastructure Schedule'!L14</f>
        <v>0</v>
      </c>
      <c r="N14" s="724">
        <f>$D$14*' Infrastructure Schedule'!M14</f>
        <v>0</v>
      </c>
      <c r="O14" s="724">
        <f>$D$14*' Infrastructure Schedule'!N14</f>
        <v>0</v>
      </c>
      <c r="Q14" s="357">
        <f t="shared" si="2"/>
        <v>385000</v>
      </c>
    </row>
    <row r="15" spans="1:17" x14ac:dyDescent="0.2">
      <c r="B15" s="614"/>
      <c r="C15" s="612" t="s">
        <v>179</v>
      </c>
      <c r="D15" s="614">
        <f t="shared" si="1"/>
        <v>30</v>
      </c>
      <c r="E15" s="724"/>
      <c r="F15" s="724">
        <f>$D$15*' Infrastructure Schedule'!E17</f>
        <v>1000.0000000000001</v>
      </c>
      <c r="G15" s="724">
        <f>$D$15*' Infrastructure Schedule'!F17</f>
        <v>1000.0000000000001</v>
      </c>
      <c r="H15" s="724">
        <f>$D$15*' Infrastructure Schedule'!G17</f>
        <v>1000.0000000000001</v>
      </c>
      <c r="I15" s="724">
        <f>$D$15*' Infrastructure Schedule'!H17</f>
        <v>1000.0000000000001</v>
      </c>
      <c r="J15" s="724">
        <f>$D$15*' Infrastructure Schedule'!I17</f>
        <v>1000.0000000000001</v>
      </c>
      <c r="K15" s="724">
        <f>$D$15*' Infrastructure Schedule'!J17</f>
        <v>1000.0000000000001</v>
      </c>
      <c r="L15" s="724">
        <f>$D$15*' Infrastructure Schedule'!K17</f>
        <v>1125</v>
      </c>
      <c r="M15" s="724">
        <f>$D$15*' Infrastructure Schedule'!L17</f>
        <v>1125</v>
      </c>
      <c r="N15" s="724">
        <f>$D$15*' Infrastructure Schedule'!M17</f>
        <v>1125</v>
      </c>
      <c r="O15" s="724">
        <f>$D$15*' Infrastructure Schedule'!N17</f>
        <v>1125</v>
      </c>
      <c r="Q15" s="357">
        <f t="shared" si="2"/>
        <v>10500</v>
      </c>
    </row>
    <row r="16" spans="1:17" ht="14.1" customHeight="1" x14ac:dyDescent="0.2">
      <c r="B16" s="823" t="s">
        <v>64</v>
      </c>
      <c r="C16" s="823"/>
      <c r="D16" s="614">
        <f>E37</f>
        <v>75</v>
      </c>
      <c r="E16" s="725"/>
      <c r="F16" s="725">
        <f>$E$37*' Infrastructure Schedule'!E13</f>
        <v>0</v>
      </c>
      <c r="G16" s="725">
        <f>$E$37*' Infrastructure Schedule'!F13</f>
        <v>3223872.75</v>
      </c>
      <c r="H16" s="725">
        <f>$E$37*' Infrastructure Schedule'!G13</f>
        <v>3223872.75</v>
      </c>
      <c r="I16" s="725">
        <f>$E$37*' Infrastructure Schedule'!H13</f>
        <v>0</v>
      </c>
      <c r="J16" s="725">
        <f>$E$37*' Infrastructure Schedule'!I13</f>
        <v>6743367.7500000009</v>
      </c>
      <c r="K16" s="725">
        <f>$E$37*' Infrastructure Schedule'!J13</f>
        <v>6743367.7500000009</v>
      </c>
      <c r="L16" s="725">
        <f>$E$37*' Infrastructure Schedule'!K13</f>
        <v>0</v>
      </c>
      <c r="M16" s="725">
        <f>$E$37*' Infrastructure Schedule'!L13</f>
        <v>750660.25000000012</v>
      </c>
      <c r="N16" s="725">
        <f>$E$37*' Infrastructure Schedule'!M13</f>
        <v>750660.25000000012</v>
      </c>
      <c r="O16" s="725">
        <f>$E$37*' Infrastructure Schedule'!N13</f>
        <v>750660.25000000012</v>
      </c>
      <c r="Q16" s="357">
        <f t="shared" si="2"/>
        <v>22186461.75</v>
      </c>
    </row>
    <row r="17" spans="2:17" ht="14.1" customHeight="1" x14ac:dyDescent="0.2">
      <c r="B17" s="612"/>
      <c r="C17" s="612" t="str">
        <f>B36</f>
        <v xml:space="preserve">Sidewalk Construction </v>
      </c>
      <c r="D17" s="614">
        <f>E36</f>
        <v>7</v>
      </c>
      <c r="E17" s="725"/>
      <c r="F17" s="725">
        <f>$D$17*' Infrastructure Schedule'!E12</f>
        <v>128954.90999999997</v>
      </c>
      <c r="G17" s="725">
        <f>$D$17*' Infrastructure Schedule'!F12</f>
        <v>128954.90999999997</v>
      </c>
      <c r="H17" s="725">
        <f>$D$17*' Infrastructure Schedule'!G12</f>
        <v>0</v>
      </c>
      <c r="I17" s="725">
        <f>$D$17*' Infrastructure Schedule'!H12</f>
        <v>229202.40000000002</v>
      </c>
      <c r="J17" s="725">
        <f>$D$17*' Infrastructure Schedule'!I12</f>
        <v>229202.40000000002</v>
      </c>
      <c r="K17" s="725">
        <f>$D$17*' Infrastructure Schedule'!J12</f>
        <v>0</v>
      </c>
      <c r="L17" s="725">
        <f>$D$17*' Infrastructure Schedule'!K12</f>
        <v>128954.90999999997</v>
      </c>
      <c r="M17" s="725">
        <f>$D$17*' Infrastructure Schedule'!L12</f>
        <v>128954.90999999997</v>
      </c>
      <c r="N17" s="725">
        <f>$D$17*' Infrastructure Schedule'!M12</f>
        <v>0</v>
      </c>
      <c r="O17" s="725">
        <f>$D$17*' Infrastructure Schedule'!N12</f>
        <v>0</v>
      </c>
      <c r="Q17" s="357">
        <f t="shared" si="2"/>
        <v>974224.44</v>
      </c>
    </row>
    <row r="18" spans="2:17" ht="14.1" customHeight="1" x14ac:dyDescent="0.2">
      <c r="B18" s="612"/>
      <c r="C18" s="612" t="str">
        <f>B35</f>
        <v xml:space="preserve">Amphitheatre Construction </v>
      </c>
      <c r="D18" s="614">
        <f>E35</f>
        <v>20</v>
      </c>
      <c r="E18" s="725"/>
      <c r="F18" s="725">
        <f>$D$18*' Infrastructure Schedule'!E18</f>
        <v>0</v>
      </c>
      <c r="G18" s="725">
        <f>$D$18*' Infrastructure Schedule'!F18</f>
        <v>0</v>
      </c>
      <c r="H18" s="725">
        <f>$D$18*' Infrastructure Schedule'!G18</f>
        <v>0</v>
      </c>
      <c r="I18" s="725">
        <f>$D$18*' Infrastructure Schedule'!H18</f>
        <v>0</v>
      </c>
      <c r="J18" s="725">
        <f>$D$18*' Infrastructure Schedule'!I18</f>
        <v>0</v>
      </c>
      <c r="K18" s="725">
        <f>$D$18*' Infrastructure Schedule'!J18</f>
        <v>0</v>
      </c>
      <c r="L18" s="725">
        <f>$D$18*' Infrastructure Schedule'!K18</f>
        <v>79792.5</v>
      </c>
      <c r="M18" s="725">
        <f>$D$18*' Infrastructure Schedule'!L18</f>
        <v>79792.5</v>
      </c>
      <c r="N18" s="725">
        <f>$D$18*' Infrastructure Schedule'!M18</f>
        <v>79792.5</v>
      </c>
      <c r="O18" s="725">
        <f>$D$18*' Infrastructure Schedule'!N18</f>
        <v>79792.5</v>
      </c>
      <c r="Q18" s="357">
        <f t="shared" si="2"/>
        <v>319170</v>
      </c>
    </row>
    <row r="19" spans="2:17" ht="14.1" customHeight="1" x14ac:dyDescent="0.2">
      <c r="B19" s="612"/>
      <c r="C19" s="612" t="str">
        <f>B38</f>
        <v>Bridge Construction</v>
      </c>
      <c r="D19" s="614">
        <f>E38</f>
        <v>90</v>
      </c>
      <c r="E19" s="725"/>
      <c r="F19" s="725">
        <f>$D$19*' Infrastructure Schedule'!E20</f>
        <v>0</v>
      </c>
      <c r="G19" s="725">
        <f>$D$19*' Infrastructure Schedule'!F20</f>
        <v>0</v>
      </c>
      <c r="H19" s="725">
        <f>$D$19*' Infrastructure Schedule'!G20</f>
        <v>0</v>
      </c>
      <c r="I19" s="725">
        <f>$D$19*' Infrastructure Schedule'!H20</f>
        <v>630000</v>
      </c>
      <c r="J19" s="725">
        <f>$D$19*' Infrastructure Schedule'!I20</f>
        <v>630000</v>
      </c>
      <c r="K19" s="725">
        <f>$D$19*' Infrastructure Schedule'!J20</f>
        <v>0</v>
      </c>
      <c r="L19" s="725">
        <f>$D$19*' Infrastructure Schedule'!K20</f>
        <v>0</v>
      </c>
      <c r="M19" s="725">
        <f>$D$19*' Infrastructure Schedule'!L20</f>
        <v>0</v>
      </c>
      <c r="N19" s="725">
        <f>$D$19*' Infrastructure Schedule'!M20</f>
        <v>0</v>
      </c>
      <c r="O19" s="725">
        <f>$D$19*' Infrastructure Schedule'!N20</f>
        <v>0</v>
      </c>
      <c r="Q19" s="357">
        <f t="shared" si="2"/>
        <v>1260000</v>
      </c>
    </row>
    <row r="20" spans="2:17" ht="14.1" customHeight="1" x14ac:dyDescent="0.2">
      <c r="B20" s="612"/>
      <c r="C20" s="612" t="str">
        <f>B39</f>
        <v>Green Roof</v>
      </c>
      <c r="D20" s="614">
        <f>E39</f>
        <v>10</v>
      </c>
      <c r="E20" s="725"/>
      <c r="F20" s="725">
        <f>$D$20*' Infrastructure Schedule'!E16</f>
        <v>349843.33333333337</v>
      </c>
      <c r="G20" s="725">
        <f>$D$20*' Infrastructure Schedule'!F16</f>
        <v>349843.33333333337</v>
      </c>
      <c r="H20" s="725">
        <f>$D$20*' Infrastructure Schedule'!G16</f>
        <v>349843.33333333337</v>
      </c>
      <c r="I20" s="725">
        <f>$D$20*' Infrastructure Schedule'!H16</f>
        <v>107856.66666666666</v>
      </c>
      <c r="J20" s="725">
        <f>$D$20*' Infrastructure Schedule'!I16</f>
        <v>107856.66666666666</v>
      </c>
      <c r="K20" s="725">
        <f>$D$20*' Infrastructure Schedule'!J16</f>
        <v>107856.66666666666</v>
      </c>
      <c r="L20" s="725">
        <f>$D$20*' Infrastructure Schedule'!K16</f>
        <v>16125</v>
      </c>
      <c r="M20" s="725">
        <f>$D$20*' Infrastructure Schedule'!L16</f>
        <v>16125</v>
      </c>
      <c r="N20" s="725">
        <f>$D$20*' Infrastructure Schedule'!M16</f>
        <v>16125</v>
      </c>
      <c r="O20" s="725">
        <f>$D$20*' Infrastructure Schedule'!N16</f>
        <v>16125</v>
      </c>
      <c r="Q20" s="357">
        <f t="shared" si="2"/>
        <v>1437600.0000000002</v>
      </c>
    </row>
    <row r="21" spans="2:17" ht="14.1" customHeight="1" x14ac:dyDescent="0.2">
      <c r="B21" s="823" t="str">
        <f>B40</f>
        <v>Landmarks and Environmental Installation</v>
      </c>
      <c r="C21" s="823"/>
      <c r="D21" s="614">
        <f>E40</f>
        <v>1000</v>
      </c>
      <c r="E21" s="726"/>
      <c r="F21" s="726">
        <f>' Infrastructure Schedule'!E19*$D$21</f>
        <v>2000</v>
      </c>
      <c r="G21" s="726">
        <f>' Infrastructure Schedule'!F19*$D$21</f>
        <v>0</v>
      </c>
      <c r="H21" s="726">
        <f>' Infrastructure Schedule'!G19*$D$21</f>
        <v>0</v>
      </c>
      <c r="I21" s="726">
        <f>' Infrastructure Schedule'!H19*$D$21</f>
        <v>2000</v>
      </c>
      <c r="J21" s="726">
        <f>' Infrastructure Schedule'!I19*$D$21</f>
        <v>0</v>
      </c>
      <c r="K21" s="726">
        <f>' Infrastructure Schedule'!J19*$D$21</f>
        <v>0</v>
      </c>
      <c r="L21" s="726">
        <f>' Infrastructure Schedule'!K19*$D$21</f>
        <v>2000</v>
      </c>
      <c r="M21" s="726">
        <f>' Infrastructure Schedule'!L19*$D$21</f>
        <v>0</v>
      </c>
      <c r="N21" s="726">
        <f>' Infrastructure Schedule'!M19*$D$21</f>
        <v>0</v>
      </c>
      <c r="O21" s="726">
        <f>' Infrastructure Schedule'!N19*$D$21</f>
        <v>0</v>
      </c>
      <c r="Q21" s="357">
        <f t="shared" si="2"/>
        <v>6000</v>
      </c>
    </row>
    <row r="22" spans="2:17" ht="14.1" customHeight="1" x14ac:dyDescent="0.2">
      <c r="B22" s="847" t="s">
        <v>62</v>
      </c>
      <c r="C22" s="847"/>
      <c r="D22" s="727"/>
      <c r="E22" s="728"/>
      <c r="F22" s="728">
        <f>SUM(F10:F21)</f>
        <v>3395891.5766666671</v>
      </c>
      <c r="G22" s="728">
        <f t="shared" ref="G22:O22" si="3">SUM(G10:G21)</f>
        <v>3812404.3266666671</v>
      </c>
      <c r="H22" s="728">
        <f t="shared" si="3"/>
        <v>3588049.416666667</v>
      </c>
      <c r="I22" s="728">
        <f t="shared" si="3"/>
        <v>2892716.3</v>
      </c>
      <c r="J22" s="728">
        <f t="shared" si="3"/>
        <v>8343473.6500000013</v>
      </c>
      <c r="K22" s="728">
        <f t="shared" si="3"/>
        <v>6865557.7500000009</v>
      </c>
      <c r="L22" s="728">
        <f t="shared" si="3"/>
        <v>1632349.41</v>
      </c>
      <c r="M22" s="728">
        <f t="shared" si="3"/>
        <v>1141585.6600000001</v>
      </c>
      <c r="N22" s="728">
        <f t="shared" si="3"/>
        <v>857702.75000000012</v>
      </c>
      <c r="O22" s="728">
        <f t="shared" si="3"/>
        <v>857702.75000000012</v>
      </c>
    </row>
    <row r="23" spans="2:17" ht="18" customHeight="1" x14ac:dyDescent="0.2">
      <c r="B23" s="729" t="s">
        <v>65</v>
      </c>
      <c r="C23" s="729"/>
      <c r="D23" s="730"/>
      <c r="E23" s="730"/>
      <c r="F23" s="730"/>
      <c r="G23" s="730"/>
      <c r="H23" s="731"/>
      <c r="I23" s="731"/>
      <c r="J23" s="731"/>
      <c r="K23" s="731"/>
      <c r="L23" s="731"/>
      <c r="M23" s="731"/>
      <c r="N23" s="731"/>
      <c r="O23" s="731"/>
    </row>
    <row r="24" spans="2:17" ht="14.1" customHeight="1" x14ac:dyDescent="0.2">
      <c r="B24" s="847" t="s">
        <v>44</v>
      </c>
      <c r="C24" s="847"/>
      <c r="D24" s="727"/>
      <c r="E24" s="728"/>
      <c r="F24" s="728">
        <f t="shared" ref="F24:O24" si="4">F22+E8</f>
        <v>3395891.5766666671</v>
      </c>
      <c r="G24" s="728">
        <f t="shared" si="4"/>
        <v>3812404.3266666671</v>
      </c>
      <c r="H24" s="728">
        <f t="shared" si="4"/>
        <v>3588049.416666667</v>
      </c>
      <c r="I24" s="728">
        <f t="shared" si="4"/>
        <v>2892716.3</v>
      </c>
      <c r="J24" s="728">
        <f t="shared" si="4"/>
        <v>8343473.6500000013</v>
      </c>
      <c r="K24" s="728">
        <f t="shared" si="4"/>
        <v>6865557.7500000009</v>
      </c>
      <c r="L24" s="728">
        <f t="shared" si="4"/>
        <v>1632349.41</v>
      </c>
      <c r="M24" s="728">
        <f t="shared" si="4"/>
        <v>1141585.6600000001</v>
      </c>
      <c r="N24" s="728">
        <f t="shared" si="4"/>
        <v>857702.75000000012</v>
      </c>
      <c r="O24" s="728">
        <f t="shared" si="4"/>
        <v>857702.75000000012</v>
      </c>
    </row>
    <row r="25" spans="2:17" ht="18" customHeight="1" x14ac:dyDescent="0.2">
      <c r="B25" s="729" t="s">
        <v>66</v>
      </c>
      <c r="C25" s="729"/>
      <c r="D25" s="732">
        <f>NPV(E28,F24:O24)</f>
        <v>22883707.569216438</v>
      </c>
      <c r="E25" s="733"/>
      <c r="F25" s="733"/>
      <c r="G25" s="731"/>
      <c r="H25" s="731"/>
      <c r="I25" s="731"/>
      <c r="J25" s="731"/>
      <c r="K25" s="731"/>
      <c r="L25" s="731"/>
      <c r="M25" s="731"/>
      <c r="N25" s="731"/>
      <c r="O25" s="731"/>
    </row>
    <row r="26" spans="2:17" ht="13.5" thickBot="1" x14ac:dyDescent="0.25"/>
    <row r="27" spans="2:17" x14ac:dyDescent="0.2">
      <c r="B27" s="124" t="s">
        <v>175</v>
      </c>
      <c r="C27" s="125"/>
      <c r="D27" s="125"/>
      <c r="E27" s="126"/>
    </row>
    <row r="28" spans="2:17" x14ac:dyDescent="0.2">
      <c r="B28" s="127" t="s">
        <v>247</v>
      </c>
      <c r="C28" s="8"/>
      <c r="D28" s="9"/>
      <c r="E28" s="510">
        <v>0.09</v>
      </c>
    </row>
    <row r="29" spans="2:17" x14ac:dyDescent="0.2">
      <c r="B29" s="128" t="s">
        <v>177</v>
      </c>
      <c r="C29" s="129"/>
      <c r="D29" s="9" t="s">
        <v>178</v>
      </c>
      <c r="E29" s="130">
        <v>8</v>
      </c>
    </row>
    <row r="30" spans="2:17" x14ac:dyDescent="0.2">
      <c r="B30" s="128" t="s">
        <v>163</v>
      </c>
      <c r="C30" s="129"/>
      <c r="D30" s="9" t="s">
        <v>178</v>
      </c>
      <c r="E30" s="130">
        <v>2</v>
      </c>
    </row>
    <row r="31" spans="2:17" x14ac:dyDescent="0.2">
      <c r="B31" s="128" t="s">
        <v>172</v>
      </c>
      <c r="C31" s="129"/>
      <c r="D31" s="9" t="s">
        <v>178</v>
      </c>
      <c r="E31" s="130">
        <v>10</v>
      </c>
    </row>
    <row r="32" spans="2:17" x14ac:dyDescent="0.2">
      <c r="B32" s="128" t="s">
        <v>173</v>
      </c>
      <c r="C32" s="129"/>
      <c r="D32" s="9" t="s">
        <v>178</v>
      </c>
      <c r="E32" s="130">
        <v>8</v>
      </c>
    </row>
    <row r="33" spans="2:5" x14ac:dyDescent="0.2">
      <c r="B33" s="128" t="s">
        <v>244</v>
      </c>
      <c r="C33" s="129"/>
      <c r="D33" s="9" t="s">
        <v>178</v>
      </c>
      <c r="E33" s="130">
        <v>50</v>
      </c>
    </row>
    <row r="34" spans="2:5" x14ac:dyDescent="0.2">
      <c r="B34" s="128" t="s">
        <v>179</v>
      </c>
      <c r="C34" s="129"/>
      <c r="D34" s="9" t="s">
        <v>180</v>
      </c>
      <c r="E34" s="130">
        <v>30</v>
      </c>
    </row>
    <row r="35" spans="2:5" x14ac:dyDescent="0.2">
      <c r="B35" s="128" t="s">
        <v>182</v>
      </c>
      <c r="C35" s="8"/>
      <c r="D35" s="9" t="s">
        <v>178</v>
      </c>
      <c r="E35" s="130">
        <v>20</v>
      </c>
    </row>
    <row r="36" spans="2:5" x14ac:dyDescent="0.2">
      <c r="B36" s="127" t="s">
        <v>181</v>
      </c>
      <c r="C36" s="8"/>
      <c r="D36" s="9" t="s">
        <v>178</v>
      </c>
      <c r="E36" s="130">
        <v>7</v>
      </c>
    </row>
    <row r="37" spans="2:5" x14ac:dyDescent="0.2">
      <c r="B37" s="127" t="s">
        <v>183</v>
      </c>
      <c r="C37" s="8"/>
      <c r="D37" s="9" t="s">
        <v>178</v>
      </c>
      <c r="E37" s="130">
        <v>75</v>
      </c>
    </row>
    <row r="38" spans="2:5" x14ac:dyDescent="0.2">
      <c r="B38" s="128" t="s">
        <v>184</v>
      </c>
      <c r="C38" s="8"/>
      <c r="D38" s="9" t="s">
        <v>178</v>
      </c>
      <c r="E38" s="130">
        <v>90</v>
      </c>
    </row>
    <row r="39" spans="2:5" x14ac:dyDescent="0.2">
      <c r="B39" s="128" t="s">
        <v>169</v>
      </c>
      <c r="C39" s="8"/>
      <c r="D39" s="9" t="s">
        <v>178</v>
      </c>
      <c r="E39" s="130">
        <v>10</v>
      </c>
    </row>
    <row r="40" spans="2:5" ht="13.5" thickBot="1" x14ac:dyDescent="0.25">
      <c r="B40" s="131" t="s">
        <v>185</v>
      </c>
      <c r="C40" s="132"/>
      <c r="D40" s="133" t="s">
        <v>186</v>
      </c>
      <c r="E40" s="134">
        <v>1000</v>
      </c>
    </row>
  </sheetData>
  <mergeCells count="7">
    <mergeCell ref="B7:C7"/>
    <mergeCell ref="B10:C10"/>
    <mergeCell ref="B24:C24"/>
    <mergeCell ref="B8:C8"/>
    <mergeCell ref="B16:C16"/>
    <mergeCell ref="B21:C21"/>
    <mergeCell ref="B22:C22"/>
  </mergeCells>
  <phoneticPr fontId="3" type="noConversion"/>
  <pageMargins left="0.5" right="0.5" top="1" bottom="0.5" header="0.5" footer="0.5"/>
  <pageSetup paperSize="3" scale="110" orientation="landscape" r:id="rId1"/>
  <headerFooter alignWithMargins="0">
    <oddHeader>&amp;L&amp;"Arial,Bold"1. Infrastructure Costs by Year, Allocated by Use Types&amp;CTEAM :2021-1920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70"/>
  <sheetViews>
    <sheetView view="pageLayout" topLeftCell="A43" zoomScale="80" zoomScaleNormal="84" zoomScalePageLayoutView="80" workbookViewId="0">
      <selection activeCell="A2" sqref="A2:N69"/>
    </sheetView>
  </sheetViews>
  <sheetFormatPr defaultColWidth="9.140625" defaultRowHeight="12.75" x14ac:dyDescent="0.2"/>
  <cols>
    <col min="1" max="1" width="23.28515625" style="1" customWidth="1"/>
    <col min="2" max="2" width="10.42578125" style="3" customWidth="1"/>
    <col min="3" max="3" width="10.7109375" style="3" customWidth="1"/>
    <col min="4" max="12" width="10.7109375" style="1" customWidth="1"/>
    <col min="13" max="13" width="13.42578125" style="1" bestFit="1" customWidth="1"/>
    <col min="14" max="14" width="9.140625" style="1"/>
    <col min="15" max="15" width="17.5703125" style="1" bestFit="1" customWidth="1"/>
    <col min="16" max="16" width="13" style="1" customWidth="1"/>
    <col min="17" max="16384" width="9.140625" style="1"/>
  </cols>
  <sheetData>
    <row r="2" spans="1:13" x14ac:dyDescent="0.2">
      <c r="A2" s="119"/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86" t="s">
        <v>1</v>
      </c>
      <c r="M2" s="87"/>
    </row>
    <row r="3" spans="1:13" x14ac:dyDescent="0.2">
      <c r="B3" s="63"/>
      <c r="C3" s="63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x14ac:dyDescent="0.2">
      <c r="B4" s="63"/>
      <c r="C4" s="158" t="s">
        <v>2</v>
      </c>
      <c r="D4" s="159" t="s">
        <v>115</v>
      </c>
      <c r="E4" s="160"/>
      <c r="F4" s="161"/>
      <c r="G4" s="162" t="s">
        <v>116</v>
      </c>
      <c r="H4" s="163"/>
      <c r="I4" s="164"/>
      <c r="J4" s="165" t="s">
        <v>117</v>
      </c>
      <c r="K4" s="166"/>
      <c r="L4" s="167"/>
      <c r="M4" s="168"/>
    </row>
    <row r="5" spans="1:13" x14ac:dyDescent="0.2">
      <c r="A5" s="5"/>
      <c r="B5" s="64" t="s">
        <v>58</v>
      </c>
      <c r="C5" s="113" t="s">
        <v>4</v>
      </c>
      <c r="D5" s="82">
        <v>2023</v>
      </c>
      <c r="E5" s="81">
        <f>D5+1</f>
        <v>2024</v>
      </c>
      <c r="F5" s="81">
        <f t="shared" ref="F5:K5" si="0">E5+1</f>
        <v>2025</v>
      </c>
      <c r="G5" s="81">
        <f t="shared" si="0"/>
        <v>2026</v>
      </c>
      <c r="H5" s="81">
        <f t="shared" si="0"/>
        <v>2027</v>
      </c>
      <c r="I5" s="81">
        <f t="shared" si="0"/>
        <v>2028</v>
      </c>
      <c r="J5" s="81">
        <f t="shared" si="0"/>
        <v>2029</v>
      </c>
      <c r="K5" s="81">
        <f t="shared" si="0"/>
        <v>2030</v>
      </c>
      <c r="L5" s="81">
        <f>K5+1</f>
        <v>2031</v>
      </c>
      <c r="M5" s="81">
        <f>L5+1</f>
        <v>2032</v>
      </c>
    </row>
    <row r="6" spans="1:13" x14ac:dyDescent="0.2">
      <c r="A6" s="10" t="s">
        <v>67</v>
      </c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x14ac:dyDescent="0.2">
      <c r="A7" s="612" t="s">
        <v>59</v>
      </c>
      <c r="B7" s="733">
        <v>0.02</v>
      </c>
      <c r="C7" s="734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8" spans="1:13" x14ac:dyDescent="0.2">
      <c r="A8" s="612" t="s">
        <v>274</v>
      </c>
      <c r="B8" s="736">
        <f>E58</f>
        <v>248640.6</v>
      </c>
      <c r="C8" s="734"/>
      <c r="D8" s="737">
        <f>$B$58*D24</f>
        <v>14337.6</v>
      </c>
      <c r="E8" s="737">
        <f>$B$58*E24</f>
        <v>11470.080000000002</v>
      </c>
      <c r="F8" s="737">
        <f>$B$58*F24</f>
        <v>2867.5199999999995</v>
      </c>
      <c r="G8" s="737">
        <f>$C$58*G24</f>
        <v>87986.16</v>
      </c>
      <c r="H8" s="737">
        <f>$C$58*H24</f>
        <v>87986.16</v>
      </c>
      <c r="I8" s="737">
        <f>$C$58*I24</f>
        <v>43993.079999999987</v>
      </c>
      <c r="J8" s="737">
        <f>$D$58*J24</f>
        <v>0</v>
      </c>
      <c r="K8" s="737">
        <f>$D$58*K24</f>
        <v>0</v>
      </c>
      <c r="L8" s="737">
        <f>$D$58*L24</f>
        <v>0</v>
      </c>
      <c r="M8" s="737">
        <f>$D$58*M24</f>
        <v>0</v>
      </c>
    </row>
    <row r="9" spans="1:13" x14ac:dyDescent="0.2">
      <c r="A9" s="612" t="s">
        <v>275</v>
      </c>
      <c r="B9" s="738">
        <f>E66+5</f>
        <v>120</v>
      </c>
      <c r="C9" s="728">
        <f>B9</f>
        <v>120</v>
      </c>
      <c r="D9" s="728">
        <f>C9*(1+$B$7)</f>
        <v>122.4</v>
      </c>
      <c r="E9" s="728">
        <f t="shared" ref="E9:M9" si="1">D9*(1+$B$7)</f>
        <v>124.84800000000001</v>
      </c>
      <c r="F9" s="728">
        <f t="shared" si="1"/>
        <v>127.34496000000001</v>
      </c>
      <c r="G9" s="728">
        <f t="shared" si="1"/>
        <v>129.89185920000003</v>
      </c>
      <c r="H9" s="728">
        <f t="shared" si="1"/>
        <v>132.48969638400004</v>
      </c>
      <c r="I9" s="728">
        <f t="shared" si="1"/>
        <v>135.13949031168005</v>
      </c>
      <c r="J9" s="728">
        <f t="shared" si="1"/>
        <v>137.84228011791365</v>
      </c>
      <c r="K9" s="728">
        <f t="shared" si="1"/>
        <v>140.59912572027193</v>
      </c>
      <c r="L9" s="728">
        <f t="shared" si="1"/>
        <v>143.41110823467736</v>
      </c>
      <c r="M9" s="728">
        <f t="shared" si="1"/>
        <v>146.27933039937091</v>
      </c>
    </row>
    <row r="10" spans="1:13" x14ac:dyDescent="0.2">
      <c r="A10" s="612" t="s">
        <v>280</v>
      </c>
      <c r="B10" s="739">
        <v>1</v>
      </c>
      <c r="C10" s="740"/>
      <c r="D10" s="737"/>
      <c r="E10" s="737"/>
      <c r="F10" s="737"/>
      <c r="G10" s="737"/>
      <c r="H10" s="737"/>
      <c r="I10" s="737"/>
      <c r="J10" s="737"/>
      <c r="K10" s="737"/>
      <c r="L10" s="737"/>
      <c r="M10" s="737"/>
    </row>
    <row r="11" spans="1:13" x14ac:dyDescent="0.2">
      <c r="A11" s="612" t="s">
        <v>69</v>
      </c>
      <c r="B11" s="741">
        <f>E62</f>
        <v>827.5</v>
      </c>
      <c r="C11" s="727"/>
      <c r="D11" s="737"/>
      <c r="E11" s="737"/>
      <c r="F11" s="737"/>
      <c r="G11" s="737"/>
      <c r="H11" s="737"/>
      <c r="I11" s="737"/>
      <c r="J11" s="737"/>
      <c r="K11" s="737"/>
      <c r="L11" s="737"/>
      <c r="M11" s="737"/>
    </row>
    <row r="12" spans="1:13" x14ac:dyDescent="0.2">
      <c r="A12" s="612" t="s">
        <v>70</v>
      </c>
      <c r="B12" s="733">
        <f>E63-4%</f>
        <v>0.82250000000000001</v>
      </c>
      <c r="C12" s="727"/>
      <c r="D12" s="737">
        <f t="shared" ref="D12:M12" si="2">$B$12*D8</f>
        <v>11792.676000000001</v>
      </c>
      <c r="E12" s="737">
        <f t="shared" si="2"/>
        <v>9434.140800000001</v>
      </c>
      <c r="F12" s="737">
        <f t="shared" si="2"/>
        <v>2358.5351999999998</v>
      </c>
      <c r="G12" s="737">
        <f t="shared" si="2"/>
        <v>72368.616600000008</v>
      </c>
      <c r="H12" s="737">
        <f t="shared" si="2"/>
        <v>72368.616600000008</v>
      </c>
      <c r="I12" s="737">
        <f t="shared" si="2"/>
        <v>36184.30829999999</v>
      </c>
      <c r="J12" s="737">
        <f t="shared" si="2"/>
        <v>0</v>
      </c>
      <c r="K12" s="737">
        <f t="shared" si="2"/>
        <v>0</v>
      </c>
      <c r="L12" s="737">
        <f t="shared" si="2"/>
        <v>0</v>
      </c>
      <c r="M12" s="737">
        <f t="shared" si="2"/>
        <v>0</v>
      </c>
    </row>
    <row r="13" spans="1:13" x14ac:dyDescent="0.2">
      <c r="A13" s="612" t="s">
        <v>277</v>
      </c>
      <c r="B13" s="730"/>
      <c r="C13" s="727"/>
      <c r="D13" s="737">
        <f>D12</f>
        <v>11792.676000000001</v>
      </c>
      <c r="E13" s="737">
        <f>D13+E12</f>
        <v>21226.816800000001</v>
      </c>
      <c r="F13" s="737">
        <f t="shared" ref="F13:M13" si="3">E13+F12</f>
        <v>23585.351999999999</v>
      </c>
      <c r="G13" s="737">
        <f t="shared" si="3"/>
        <v>95953.968600000007</v>
      </c>
      <c r="H13" s="737">
        <f t="shared" si="3"/>
        <v>168322.58520000003</v>
      </c>
      <c r="I13" s="737">
        <f t="shared" si="3"/>
        <v>204506.89350000001</v>
      </c>
      <c r="J13" s="737">
        <f t="shared" si="3"/>
        <v>204506.89350000001</v>
      </c>
      <c r="K13" s="737">
        <f t="shared" si="3"/>
        <v>204506.89350000001</v>
      </c>
      <c r="L13" s="737">
        <f t="shared" si="3"/>
        <v>204506.89350000001</v>
      </c>
      <c r="M13" s="737">
        <f t="shared" si="3"/>
        <v>204506.89350000001</v>
      </c>
    </row>
    <row r="14" spans="1:13" x14ac:dyDescent="0.2">
      <c r="A14" s="612" t="s">
        <v>71</v>
      </c>
      <c r="B14" s="741">
        <f>E64-0.15</f>
        <v>1.7572761634774392</v>
      </c>
      <c r="C14" s="740">
        <f>B14</f>
        <v>1.7572761634774392</v>
      </c>
      <c r="D14" s="737">
        <f>C14*(1+$B$7)</f>
        <v>1.792421686746988</v>
      </c>
      <c r="E14" s="737">
        <f t="shared" ref="E14:M14" si="4">D14*(1+$B$7)</f>
        <v>1.8282701204819278</v>
      </c>
      <c r="F14" s="737">
        <f t="shared" si="4"/>
        <v>1.8648355228915665</v>
      </c>
      <c r="G14" s="737">
        <f t="shared" si="4"/>
        <v>1.902132233349398</v>
      </c>
      <c r="H14" s="737">
        <f t="shared" si="4"/>
        <v>1.9401748780163859</v>
      </c>
      <c r="I14" s="737">
        <f t="shared" si="4"/>
        <v>1.9789783755767136</v>
      </c>
      <c r="J14" s="737">
        <f t="shared" si="4"/>
        <v>2.0185579430882479</v>
      </c>
      <c r="K14" s="737">
        <f t="shared" si="4"/>
        <v>2.0589291019500129</v>
      </c>
      <c r="L14" s="737">
        <f t="shared" si="4"/>
        <v>2.1001076839890134</v>
      </c>
      <c r="M14" s="737">
        <f t="shared" si="4"/>
        <v>2.1421098376687935</v>
      </c>
    </row>
    <row r="15" spans="1:13" x14ac:dyDescent="0.2">
      <c r="A15" s="612" t="s">
        <v>74</v>
      </c>
      <c r="B15" s="741">
        <f>E68</f>
        <v>0.5</v>
      </c>
      <c r="C15" s="740">
        <f>B15</f>
        <v>0.5</v>
      </c>
      <c r="D15" s="737">
        <f>C15*(1+$B$7)</f>
        <v>0.51</v>
      </c>
      <c r="E15" s="737">
        <f t="shared" ref="E15:M15" si="5">D15*(1+$B$7)</f>
        <v>0.5202</v>
      </c>
      <c r="F15" s="737">
        <f t="shared" si="5"/>
        <v>0.53060399999999996</v>
      </c>
      <c r="G15" s="737">
        <f t="shared" si="5"/>
        <v>0.54121607999999999</v>
      </c>
      <c r="H15" s="737">
        <f t="shared" si="5"/>
        <v>0.55204040160000001</v>
      </c>
      <c r="I15" s="737">
        <f t="shared" si="5"/>
        <v>0.56308120963200003</v>
      </c>
      <c r="J15" s="737">
        <f t="shared" si="5"/>
        <v>0.57434283382464002</v>
      </c>
      <c r="K15" s="737">
        <f t="shared" si="5"/>
        <v>0.58582969050113287</v>
      </c>
      <c r="L15" s="737">
        <f t="shared" si="5"/>
        <v>0.59754628431115553</v>
      </c>
      <c r="M15" s="737">
        <f t="shared" si="5"/>
        <v>0.60949720999737866</v>
      </c>
    </row>
    <row r="16" spans="1:13" x14ac:dyDescent="0.2">
      <c r="A16" s="17" t="s">
        <v>72</v>
      </c>
      <c r="B16" s="72">
        <v>0.9</v>
      </c>
      <c r="C16" s="51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x14ac:dyDescent="0.2">
      <c r="A17" s="10" t="s">
        <v>5</v>
      </c>
      <c r="B17" s="5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">
      <c r="A18" s="97" t="s">
        <v>73</v>
      </c>
      <c r="B18" s="25"/>
      <c r="C18" s="26"/>
      <c r="D18" s="174">
        <f t="shared" ref="D18:M18" si="6">D14*D13*12*$B$16</f>
        <v>228284.44063755183</v>
      </c>
      <c r="E18" s="174">
        <f t="shared" si="6"/>
        <v>419130.23301054514</v>
      </c>
      <c r="F18" s="174">
        <f t="shared" si="6"/>
        <v>475014.26407861779</v>
      </c>
      <c r="G18" s="174">
        <f t="shared" si="6"/>
        <v>1971185.075192045</v>
      </c>
      <c r="H18" s="174">
        <f t="shared" si="6"/>
        <v>3527012.7130443784</v>
      </c>
      <c r="I18" s="174">
        <f t="shared" si="6"/>
        <v>4370918.9748429963</v>
      </c>
      <c r="J18" s="174">
        <f t="shared" si="6"/>
        <v>4458337.3543398557</v>
      </c>
      <c r="K18" s="174">
        <f t="shared" si="6"/>
        <v>4547504.1014266536</v>
      </c>
      <c r="L18" s="174">
        <f t="shared" si="6"/>
        <v>4638454.1834551869</v>
      </c>
      <c r="M18" s="174">
        <f t="shared" si="6"/>
        <v>4731223.2671242906</v>
      </c>
    </row>
    <row r="19" spans="1:13" x14ac:dyDescent="0.2">
      <c r="A19" s="27" t="s">
        <v>278</v>
      </c>
      <c r="B19" s="28"/>
      <c r="C19" s="73"/>
      <c r="D19" s="177">
        <f t="shared" ref="D19:M19" si="7">D15*-1*D13</f>
        <v>-6014.2647600000009</v>
      </c>
      <c r="E19" s="177">
        <f t="shared" si="7"/>
        <v>-11042.190099359999</v>
      </c>
      <c r="F19" s="177">
        <f t="shared" si="7"/>
        <v>-12514.482112607999</v>
      </c>
      <c r="G19" s="177">
        <f t="shared" si="7"/>
        <v>-51931.830746135092</v>
      </c>
      <c r="H19" s="177">
        <f t="shared" si="7"/>
        <v>-92920.867532158241</v>
      </c>
      <c r="I19" s="177">
        <f t="shared" si="7"/>
        <v>-115153.98897006261</v>
      </c>
      <c r="J19" s="177">
        <f t="shared" si="7"/>
        <v>-117457.06874946386</v>
      </c>
      <c r="K19" s="177">
        <f t="shared" si="7"/>
        <v>-119806.21012445315</v>
      </c>
      <c r="L19" s="177">
        <f t="shared" si="7"/>
        <v>-122202.3343269422</v>
      </c>
      <c r="M19" s="177">
        <f t="shared" si="7"/>
        <v>-124646.38101348106</v>
      </c>
    </row>
    <row r="20" spans="1:13" x14ac:dyDescent="0.2">
      <c r="A20" s="27" t="s">
        <v>312</v>
      </c>
      <c r="B20" s="192">
        <f>B47</f>
        <v>3.5000000000000003E-2</v>
      </c>
      <c r="C20" s="73"/>
      <c r="D20" s="177">
        <f>$B$20*-1*D18</f>
        <v>-7989.955422314315</v>
      </c>
      <c r="E20" s="177">
        <f t="shared" ref="E20:M20" si="8">$B$20*-1*E18</f>
        <v>-14669.558155369081</v>
      </c>
      <c r="F20" s="177">
        <f t="shared" si="8"/>
        <v>-16625.499242751623</v>
      </c>
      <c r="G20" s="177">
        <f t="shared" si="8"/>
        <v>-68991.477631721573</v>
      </c>
      <c r="H20" s="177">
        <f t="shared" si="8"/>
        <v>-123445.44495655326</v>
      </c>
      <c r="I20" s="177">
        <f t="shared" si="8"/>
        <v>-152982.16411950489</v>
      </c>
      <c r="J20" s="177">
        <f t="shared" si="8"/>
        <v>-156041.80740189497</v>
      </c>
      <c r="K20" s="177">
        <f t="shared" si="8"/>
        <v>-159162.64354993289</v>
      </c>
      <c r="L20" s="177">
        <f t="shared" si="8"/>
        <v>-162345.89642093156</v>
      </c>
      <c r="M20" s="177">
        <f t="shared" si="8"/>
        <v>-165592.8143493502</v>
      </c>
    </row>
    <row r="21" spans="1:13" x14ac:dyDescent="0.2">
      <c r="A21" s="27" t="s">
        <v>249</v>
      </c>
      <c r="B21" s="30">
        <f>B48</f>
        <v>0.05</v>
      </c>
      <c r="C21" s="73"/>
      <c r="D21" s="177">
        <f>$B$21*D18*-1</f>
        <v>-11414.222031877593</v>
      </c>
      <c r="E21" s="177">
        <f t="shared" ref="E21:M21" si="9">$B$21*E18*-1</f>
        <v>-20956.51165052726</v>
      </c>
      <c r="F21" s="177">
        <f t="shared" si="9"/>
        <v>-23750.713203930893</v>
      </c>
      <c r="G21" s="177">
        <f t="shared" si="9"/>
        <v>-98559.253759602259</v>
      </c>
      <c r="H21" s="177">
        <f t="shared" si="9"/>
        <v>-176350.63565221895</v>
      </c>
      <c r="I21" s="177">
        <f t="shared" si="9"/>
        <v>-218545.94874214983</v>
      </c>
      <c r="J21" s="177">
        <f t="shared" si="9"/>
        <v>-222916.8677169928</v>
      </c>
      <c r="K21" s="177">
        <f t="shared" si="9"/>
        <v>-227375.20507133269</v>
      </c>
      <c r="L21" s="177">
        <f t="shared" si="9"/>
        <v>-231922.70917275935</v>
      </c>
      <c r="M21" s="177">
        <f t="shared" si="9"/>
        <v>-236561.16335621453</v>
      </c>
    </row>
    <row r="22" spans="1:13" x14ac:dyDescent="0.2">
      <c r="A22" s="99" t="s">
        <v>21</v>
      </c>
      <c r="B22" s="31"/>
      <c r="C22" s="42"/>
      <c r="D22" s="37">
        <f>D19+D18+D20+D21</f>
        <v>202865.99842335994</v>
      </c>
      <c r="E22" s="37">
        <f t="shared" ref="E22:M22" si="10">E19+E18+E20+E21</f>
        <v>372461.97310528881</v>
      </c>
      <c r="F22" s="37">
        <f t="shared" si="10"/>
        <v>422123.56951932731</v>
      </c>
      <c r="G22" s="37">
        <f t="shared" si="10"/>
        <v>1751702.5130545858</v>
      </c>
      <c r="H22" s="37">
        <f t="shared" si="10"/>
        <v>3134295.7649034481</v>
      </c>
      <c r="I22" s="37">
        <f t="shared" si="10"/>
        <v>3884236.8730112789</v>
      </c>
      <c r="J22" s="37">
        <f t="shared" si="10"/>
        <v>3961921.6104715038</v>
      </c>
      <c r="K22" s="37">
        <f t="shared" si="10"/>
        <v>4041160.0426809341</v>
      </c>
      <c r="L22" s="37">
        <f t="shared" si="10"/>
        <v>4121983.2435345538</v>
      </c>
      <c r="M22" s="37">
        <f t="shared" si="10"/>
        <v>4204422.9084052444</v>
      </c>
    </row>
    <row r="23" spans="1:13" x14ac:dyDescent="0.2">
      <c r="A23" s="10" t="s">
        <v>15</v>
      </c>
      <c r="B23" s="5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x14ac:dyDescent="0.2">
      <c r="A24" s="97" t="s">
        <v>75</v>
      </c>
      <c r="C24" s="179"/>
      <c r="D24" s="169">
        <v>0.5</v>
      </c>
      <c r="E24" s="169">
        <v>0.4</v>
      </c>
      <c r="F24" s="169">
        <f>1-(E24+D24)</f>
        <v>9.9999999999999978E-2</v>
      </c>
      <c r="G24" s="169">
        <v>0.4</v>
      </c>
      <c r="H24" s="169">
        <v>0.4</v>
      </c>
      <c r="I24" s="169">
        <f>1-(H24+G24)</f>
        <v>0.19999999999999996</v>
      </c>
      <c r="J24" s="169">
        <v>0.35</v>
      </c>
      <c r="K24" s="169">
        <v>0.4</v>
      </c>
      <c r="L24" s="169">
        <v>0.2</v>
      </c>
      <c r="M24" s="169">
        <f>1-(L24+K24+J24)</f>
        <v>4.9999999999999933E-2</v>
      </c>
    </row>
    <row r="25" spans="1:13" x14ac:dyDescent="0.2">
      <c r="A25" s="97" t="s">
        <v>276</v>
      </c>
      <c r="B25" s="25"/>
      <c r="C25" s="26"/>
      <c r="D25" s="169">
        <v>0.5</v>
      </c>
      <c r="E25" s="169">
        <f>D25+E24</f>
        <v>0.9</v>
      </c>
      <c r="F25" s="169">
        <f>E25+F24</f>
        <v>1</v>
      </c>
      <c r="G25" s="169">
        <f>G24</f>
        <v>0.4</v>
      </c>
      <c r="H25" s="169">
        <f>G25+H24</f>
        <v>0.8</v>
      </c>
      <c r="I25" s="169">
        <f>H25+I24</f>
        <v>1</v>
      </c>
      <c r="J25" s="169">
        <f>J24</f>
        <v>0.35</v>
      </c>
      <c r="K25" s="169">
        <f>J25+K24</f>
        <v>0.75</v>
      </c>
      <c r="L25" s="169">
        <f t="shared" ref="L25:M25" si="11">K25+L24</f>
        <v>0.95</v>
      </c>
      <c r="M25" s="169">
        <f t="shared" si="11"/>
        <v>0.99999999999999989</v>
      </c>
    </row>
    <row r="26" spans="1:13" x14ac:dyDescent="0.2">
      <c r="A26" s="97" t="s">
        <v>15</v>
      </c>
      <c r="B26" s="157"/>
      <c r="C26" s="26"/>
      <c r="D26" s="177">
        <f t="shared" ref="D26:M26" si="12">D8*D9*-1</f>
        <v>-1754922.2400000002</v>
      </c>
      <c r="E26" s="177">
        <f t="shared" si="12"/>
        <v>-1432016.5478400004</v>
      </c>
      <c r="F26" s="177">
        <f t="shared" si="12"/>
        <v>-365164.21969920001</v>
      </c>
      <c r="G26" s="177">
        <f t="shared" si="12"/>
        <v>-11428685.906268675</v>
      </c>
      <c r="H26" s="177">
        <f t="shared" si="12"/>
        <v>-11657259.62439405</v>
      </c>
      <c r="I26" s="177">
        <f t="shared" si="12"/>
        <v>-5945202.4084409634</v>
      </c>
      <c r="J26" s="177">
        <f t="shared" si="12"/>
        <v>0</v>
      </c>
      <c r="K26" s="177">
        <f t="shared" si="12"/>
        <v>0</v>
      </c>
      <c r="L26" s="177">
        <f t="shared" si="12"/>
        <v>0</v>
      </c>
      <c r="M26" s="177">
        <f t="shared" si="12"/>
        <v>0</v>
      </c>
    </row>
    <row r="27" spans="1:13" x14ac:dyDescent="0.2">
      <c r="A27" s="97" t="s">
        <v>118</v>
      </c>
      <c r="B27" s="181">
        <v>0.2</v>
      </c>
      <c r="C27" s="26"/>
      <c r="D27" s="38">
        <f>$B$27*D26</f>
        <v>-350984.44800000009</v>
      </c>
      <c r="E27" s="38">
        <f t="shared" ref="E27:M27" si="13">$B$27*E26</f>
        <v>-286403.30956800008</v>
      </c>
      <c r="F27" s="38">
        <f t="shared" si="13"/>
        <v>-73032.843939840008</v>
      </c>
      <c r="G27" s="38">
        <f t="shared" si="13"/>
        <v>-2285737.181253735</v>
      </c>
      <c r="H27" s="38">
        <f t="shared" si="13"/>
        <v>-2331451.9248788101</v>
      </c>
      <c r="I27" s="38">
        <f t="shared" si="13"/>
        <v>-1189040.4816881928</v>
      </c>
      <c r="J27" s="38">
        <f t="shared" si="13"/>
        <v>0</v>
      </c>
      <c r="K27" s="38">
        <f t="shared" si="13"/>
        <v>0</v>
      </c>
      <c r="L27" s="38">
        <f t="shared" si="13"/>
        <v>0</v>
      </c>
      <c r="M27" s="38">
        <f t="shared" si="13"/>
        <v>0</v>
      </c>
    </row>
    <row r="28" spans="1:13" x14ac:dyDescent="0.2">
      <c r="A28" s="97" t="s">
        <v>52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2">
      <c r="A29" s="99" t="s">
        <v>19</v>
      </c>
      <c r="B29" s="31"/>
      <c r="C29" s="42"/>
      <c r="D29" s="37">
        <f>D27+D26+D28</f>
        <v>-2105906.6880000001</v>
      </c>
      <c r="E29" s="37">
        <f t="shared" ref="E29:M29" si="14">E27+E26+E28</f>
        <v>-1718419.8574080004</v>
      </c>
      <c r="F29" s="37">
        <f t="shared" si="14"/>
        <v>-438197.06363903999</v>
      </c>
      <c r="G29" s="37">
        <f t="shared" si="14"/>
        <v>-13714423.08752241</v>
      </c>
      <c r="H29" s="37">
        <f t="shared" si="14"/>
        <v>-13988711.549272859</v>
      </c>
      <c r="I29" s="37">
        <f t="shared" si="14"/>
        <v>-7134242.8901291564</v>
      </c>
      <c r="J29" s="37">
        <f t="shared" si="14"/>
        <v>0</v>
      </c>
      <c r="K29" s="37">
        <f t="shared" si="14"/>
        <v>0</v>
      </c>
      <c r="L29" s="37">
        <f t="shared" si="14"/>
        <v>0</v>
      </c>
      <c r="M29" s="37">
        <f t="shared" si="14"/>
        <v>0</v>
      </c>
    </row>
    <row r="30" spans="1:13" x14ac:dyDescent="0.2">
      <c r="A30" s="10" t="s">
        <v>20</v>
      </c>
      <c r="B30" s="5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x14ac:dyDescent="0.2">
      <c r="A31" s="97" t="s">
        <v>242</v>
      </c>
      <c r="B31" s="70">
        <f>E65</f>
        <v>5.5E-2</v>
      </c>
      <c r="C31" s="33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1:13" x14ac:dyDescent="0.2">
      <c r="A32" s="97" t="s">
        <v>21</v>
      </c>
      <c r="B32" s="25"/>
      <c r="C32" s="26"/>
      <c r="D32" s="38">
        <f t="shared" ref="D32:M32" si="15">D22</f>
        <v>202865.99842335994</v>
      </c>
      <c r="E32" s="38">
        <f t="shared" si="15"/>
        <v>372461.97310528881</v>
      </c>
      <c r="F32" s="38">
        <f t="shared" si="15"/>
        <v>422123.56951932731</v>
      </c>
      <c r="G32" s="38">
        <f t="shared" si="15"/>
        <v>1751702.5130545858</v>
      </c>
      <c r="H32" s="38">
        <f t="shared" si="15"/>
        <v>3134295.7649034481</v>
      </c>
      <c r="I32" s="38">
        <f t="shared" si="15"/>
        <v>3884236.8730112789</v>
      </c>
      <c r="J32" s="38">
        <f t="shared" si="15"/>
        <v>3961921.6104715038</v>
      </c>
      <c r="K32" s="38">
        <f t="shared" si="15"/>
        <v>4041160.0426809341</v>
      </c>
      <c r="L32" s="38">
        <f t="shared" si="15"/>
        <v>4121983.2435345538</v>
      </c>
      <c r="M32" s="38">
        <f t="shared" si="15"/>
        <v>4204422.9084052444</v>
      </c>
    </row>
    <row r="33" spans="1:13" x14ac:dyDescent="0.2">
      <c r="A33" s="27" t="s">
        <v>76</v>
      </c>
      <c r="B33" s="30"/>
      <c r="C33" s="180"/>
      <c r="D33" s="73"/>
      <c r="E33" s="73"/>
      <c r="F33" s="73"/>
      <c r="G33" s="73"/>
      <c r="H33" s="73"/>
      <c r="I33" s="73"/>
      <c r="J33" s="73"/>
      <c r="K33" s="73"/>
      <c r="L33" s="73"/>
      <c r="M33" s="177">
        <f>M32/B31</f>
        <v>76444052.880095348</v>
      </c>
    </row>
    <row r="34" spans="1:13" x14ac:dyDescent="0.2">
      <c r="A34" s="27" t="s">
        <v>77</v>
      </c>
      <c r="B34" s="30">
        <f>B51</f>
        <v>0.03</v>
      </c>
      <c r="C34" s="180"/>
      <c r="D34" s="73"/>
      <c r="E34" s="73"/>
      <c r="F34" s="73"/>
      <c r="G34" s="73"/>
      <c r="H34" s="73"/>
      <c r="I34" s="73"/>
      <c r="J34" s="73"/>
      <c r="K34" s="73"/>
      <c r="L34" s="73"/>
      <c r="M34" s="177">
        <f>-1*B34*M33</f>
        <v>-2293321.5864028605</v>
      </c>
    </row>
    <row r="35" spans="1:13" x14ac:dyDescent="0.2">
      <c r="A35" s="27" t="s">
        <v>253</v>
      </c>
      <c r="B35" s="30">
        <f>B52</f>
        <v>0.03</v>
      </c>
      <c r="C35" s="73"/>
      <c r="D35" s="177">
        <f t="shared" ref="D35:M35" si="16">D32*-1*$B$35</f>
        <v>-6085.9799527007981</v>
      </c>
      <c r="E35" s="177">
        <f t="shared" si="16"/>
        <v>-11173.859193158663</v>
      </c>
      <c r="F35" s="177">
        <f t="shared" si="16"/>
        <v>-12663.707085579819</v>
      </c>
      <c r="G35" s="177">
        <f t="shared" si="16"/>
        <v>-52551.075391637569</v>
      </c>
      <c r="H35" s="177">
        <f t="shared" si="16"/>
        <v>-94028.872947103431</v>
      </c>
      <c r="I35" s="177">
        <f t="shared" si="16"/>
        <v>-116527.10619033837</v>
      </c>
      <c r="J35" s="177">
        <f t="shared" si="16"/>
        <v>-118857.6483141451</v>
      </c>
      <c r="K35" s="177">
        <f t="shared" si="16"/>
        <v>-121234.80128042802</v>
      </c>
      <c r="L35" s="177">
        <f t="shared" si="16"/>
        <v>-123659.4973060366</v>
      </c>
      <c r="M35" s="177">
        <f t="shared" si="16"/>
        <v>-126132.68725215732</v>
      </c>
    </row>
    <row r="36" spans="1:13" x14ac:dyDescent="0.2">
      <c r="A36" s="17" t="s">
        <v>281</v>
      </c>
      <c r="B36" s="31"/>
      <c r="C36" s="42"/>
      <c r="D36" s="37">
        <f>D29</f>
        <v>-2105906.6880000001</v>
      </c>
      <c r="E36" s="37">
        <f t="shared" ref="E36:M36" si="17">E29</f>
        <v>-1718419.8574080004</v>
      </c>
      <c r="F36" s="37">
        <f t="shared" si="17"/>
        <v>-438197.06363903999</v>
      </c>
      <c r="G36" s="37">
        <f t="shared" si="17"/>
        <v>-13714423.08752241</v>
      </c>
      <c r="H36" s="37">
        <f t="shared" si="17"/>
        <v>-13988711.549272859</v>
      </c>
      <c r="I36" s="37">
        <f t="shared" si="17"/>
        <v>-7134242.8901291564</v>
      </c>
      <c r="J36" s="37">
        <f t="shared" si="17"/>
        <v>0</v>
      </c>
      <c r="K36" s="37">
        <f t="shared" si="17"/>
        <v>0</v>
      </c>
      <c r="L36" s="37">
        <f t="shared" si="17"/>
        <v>0</v>
      </c>
      <c r="M36" s="37">
        <f t="shared" si="17"/>
        <v>0</v>
      </c>
    </row>
    <row r="37" spans="1:13" x14ac:dyDescent="0.2">
      <c r="A37" s="13" t="s">
        <v>24</v>
      </c>
      <c r="B37" s="46"/>
      <c r="C37" s="58"/>
      <c r="D37" s="183">
        <f>SUM(D32:D36)</f>
        <v>-1909126.6695293409</v>
      </c>
      <c r="E37" s="183">
        <f t="shared" ref="E37:M37" si="18">SUM(E32:E36)</f>
        <v>-1357131.7434958704</v>
      </c>
      <c r="F37" s="183">
        <f t="shared" si="18"/>
        <v>-28737.201205292484</v>
      </c>
      <c r="G37" s="183">
        <f t="shared" si="18"/>
        <v>-12015271.649859462</v>
      </c>
      <c r="H37" s="183">
        <f t="shared" si="18"/>
        <v>-10948444.657316515</v>
      </c>
      <c r="I37" s="183">
        <f t="shared" si="18"/>
        <v>-3366533.1233082158</v>
      </c>
      <c r="J37" s="183">
        <f t="shared" si="18"/>
        <v>3843063.9621573589</v>
      </c>
      <c r="K37" s="183">
        <f t="shared" si="18"/>
        <v>3919925.2414005059</v>
      </c>
      <c r="L37" s="183">
        <f t="shared" si="18"/>
        <v>3998323.746228517</v>
      </c>
      <c r="M37" s="183">
        <f t="shared" si="18"/>
        <v>78229021.514845565</v>
      </c>
    </row>
    <row r="38" spans="1:13" x14ac:dyDescent="0.2">
      <c r="A38" s="16" t="s">
        <v>27</v>
      </c>
      <c r="B38" s="212">
        <f>C37+NPV(B46,D37:M37)</f>
        <v>15873335.390035935</v>
      </c>
      <c r="C38" s="169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19" t="s">
        <v>29</v>
      </c>
      <c r="B39" s="69">
        <f>IRR(D37:M37,0)</f>
        <v>0.22237377100543698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">
      <c r="A40" s="19" t="s">
        <v>31</v>
      </c>
      <c r="B40" s="3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x14ac:dyDescent="0.2">
      <c r="A41" s="626"/>
      <c r="B41" s="65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</row>
    <row r="42" spans="1:13" x14ac:dyDescent="0.2">
      <c r="A42" s="626"/>
      <c r="B42" s="65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</row>
    <row r="44" spans="1:13" x14ac:dyDescent="0.2">
      <c r="A44" s="136" t="s">
        <v>245</v>
      </c>
      <c r="B44" s="138"/>
      <c r="C44" s="1"/>
    </row>
    <row r="45" spans="1:13" x14ac:dyDescent="0.2">
      <c r="A45" s="139" t="s">
        <v>246</v>
      </c>
      <c r="B45" s="145">
        <v>0.02</v>
      </c>
      <c r="C45" s="1"/>
    </row>
    <row r="46" spans="1:13" x14ac:dyDescent="0.2">
      <c r="A46" s="139" t="s">
        <v>247</v>
      </c>
      <c r="B46" s="145">
        <v>0.1</v>
      </c>
      <c r="C46" s="1"/>
    </row>
    <row r="47" spans="1:13" x14ac:dyDescent="0.2">
      <c r="A47" s="139" t="s">
        <v>248</v>
      </c>
      <c r="B47" s="155">
        <v>3.5000000000000003E-2</v>
      </c>
      <c r="C47" s="1"/>
    </row>
    <row r="48" spans="1:13" x14ac:dyDescent="0.2">
      <c r="A48" s="139" t="s">
        <v>249</v>
      </c>
      <c r="B48" s="145">
        <v>0.05</v>
      </c>
      <c r="C48" s="1"/>
    </row>
    <row r="49" spans="1:6" x14ac:dyDescent="0.2">
      <c r="A49" s="139" t="s">
        <v>250</v>
      </c>
      <c r="B49" s="145">
        <v>0.6</v>
      </c>
      <c r="C49" s="1"/>
    </row>
    <row r="50" spans="1:6" x14ac:dyDescent="0.2">
      <c r="A50" s="139" t="s">
        <v>251</v>
      </c>
      <c r="B50" s="141">
        <v>1.7528999999999999</v>
      </c>
      <c r="C50" s="1" t="s">
        <v>255</v>
      </c>
    </row>
    <row r="51" spans="1:6" x14ac:dyDescent="0.2">
      <c r="A51" s="139" t="s">
        <v>85</v>
      </c>
      <c r="B51" s="145">
        <v>0.03</v>
      </c>
      <c r="C51" s="1"/>
    </row>
    <row r="52" spans="1:6" x14ac:dyDescent="0.2">
      <c r="A52" s="139" t="s">
        <v>253</v>
      </c>
      <c r="B52" s="145">
        <v>0.03</v>
      </c>
      <c r="C52" s="1"/>
    </row>
    <row r="53" spans="1:6" x14ac:dyDescent="0.2">
      <c r="A53" s="146" t="s">
        <v>254</v>
      </c>
      <c r="B53" s="156">
        <v>0.01</v>
      </c>
      <c r="C53" s="1"/>
    </row>
    <row r="54" spans="1:6" x14ac:dyDescent="0.2">
      <c r="B54" s="1"/>
      <c r="C54" s="1"/>
    </row>
    <row r="55" spans="1:6" x14ac:dyDescent="0.2">
      <c r="A55" s="136" t="s">
        <v>256</v>
      </c>
      <c r="B55" s="137"/>
      <c r="C55" s="137"/>
      <c r="D55" s="138"/>
      <c r="E55" s="149"/>
      <c r="F55" s="150"/>
    </row>
    <row r="56" spans="1:6" x14ac:dyDescent="0.2">
      <c r="A56" s="139" t="s">
        <v>257</v>
      </c>
      <c r="B56" s="102" t="s">
        <v>226</v>
      </c>
      <c r="C56" s="105" t="s">
        <v>187</v>
      </c>
      <c r="D56" s="140" t="s">
        <v>117</v>
      </c>
      <c r="E56" s="139"/>
      <c r="F56" s="141"/>
    </row>
    <row r="57" spans="1:6" x14ac:dyDescent="0.2">
      <c r="A57" s="146" t="s">
        <v>261</v>
      </c>
      <c r="B57" s="5" t="s">
        <v>262</v>
      </c>
      <c r="C57" s="5" t="s">
        <v>263</v>
      </c>
      <c r="D57" s="154" t="s">
        <v>264</v>
      </c>
      <c r="E57" s="146"/>
      <c r="F57" s="154"/>
    </row>
    <row r="58" spans="1:6" x14ac:dyDescent="0.2">
      <c r="A58" s="139" t="s">
        <v>265</v>
      </c>
      <c r="B58" s="142">
        <f>'Building Summary'!D317</f>
        <v>28675.200000000001</v>
      </c>
      <c r="C58" s="142">
        <f>'Building Summary'!D242+'Building Summary'!D167</f>
        <v>219965.4</v>
      </c>
      <c r="D58" s="143"/>
      <c r="E58" s="151">
        <f>SUM(B58:D58)</f>
        <v>248640.6</v>
      </c>
      <c r="F58" s="141" t="s">
        <v>40</v>
      </c>
    </row>
    <row r="59" spans="1:6" x14ac:dyDescent="0.2">
      <c r="A59" s="139" t="s">
        <v>266</v>
      </c>
      <c r="B59" s="142">
        <f>'Building Summary'!D253</f>
        <v>41</v>
      </c>
      <c r="C59" s="142">
        <f>'Building Summary'!D253+'Building Summary'!D178</f>
        <v>90</v>
      </c>
      <c r="D59" s="143"/>
      <c r="E59" s="151">
        <f>SUM(B59:D59)</f>
        <v>131</v>
      </c>
      <c r="F59" s="141" t="s">
        <v>40</v>
      </c>
    </row>
    <row r="60" spans="1:6" x14ac:dyDescent="0.2">
      <c r="A60" s="139" t="s">
        <v>267</v>
      </c>
      <c r="B60" s="142">
        <f>'Building Summary'!E253</f>
        <v>76</v>
      </c>
      <c r="C60" s="142">
        <f>'Building Summary'!E178+'Building Summary'!E253</f>
        <v>127</v>
      </c>
      <c r="D60" s="143"/>
      <c r="E60" s="151">
        <f>SUM(B60:D60)</f>
        <v>203</v>
      </c>
      <c r="F60" s="141" t="s">
        <v>40</v>
      </c>
    </row>
    <row r="61" spans="1:6" x14ac:dyDescent="0.2">
      <c r="A61" s="139" t="s">
        <v>40</v>
      </c>
      <c r="B61" s="142">
        <f>SUM(B59:B60)</f>
        <v>117</v>
      </c>
      <c r="C61" s="142">
        <f t="shared" ref="C61" si="19">SUM(C59:C60)</f>
        <v>217</v>
      </c>
      <c r="D61" s="142"/>
      <c r="E61" s="151">
        <f>SUM(B61:D61)</f>
        <v>334</v>
      </c>
      <c r="F61" s="141" t="s">
        <v>40</v>
      </c>
    </row>
    <row r="62" spans="1:6" x14ac:dyDescent="0.2">
      <c r="A62" s="139" t="s">
        <v>268</v>
      </c>
      <c r="B62" s="142">
        <v>765</v>
      </c>
      <c r="C62" s="142">
        <v>890</v>
      </c>
      <c r="D62" s="143"/>
      <c r="E62" s="151">
        <v>827.5</v>
      </c>
      <c r="F62" s="141" t="s">
        <v>269</v>
      </c>
    </row>
    <row r="63" spans="1:6" x14ac:dyDescent="0.2">
      <c r="A63" s="139" t="s">
        <v>270</v>
      </c>
      <c r="B63" s="144">
        <v>0.85</v>
      </c>
      <c r="C63" s="144">
        <v>0.875</v>
      </c>
      <c r="D63" s="145"/>
      <c r="E63" s="152">
        <v>0.86250000000000004</v>
      </c>
      <c r="F63" s="141" t="s">
        <v>269</v>
      </c>
    </row>
    <row r="64" spans="1:6" x14ac:dyDescent="0.2">
      <c r="A64" s="139" t="s">
        <v>271</v>
      </c>
      <c r="B64" s="142">
        <v>1.9779411764705883</v>
      </c>
      <c r="C64" s="142">
        <v>1.8366111504842901</v>
      </c>
      <c r="D64" s="143"/>
      <c r="E64" s="151">
        <v>1.9072761634774391</v>
      </c>
      <c r="F64" s="141" t="s">
        <v>269</v>
      </c>
    </row>
    <row r="65" spans="1:6" x14ac:dyDescent="0.2">
      <c r="A65" s="139" t="s">
        <v>242</v>
      </c>
      <c r="B65" s="144">
        <v>5.5E-2</v>
      </c>
      <c r="C65" s="144">
        <v>5.5E-2</v>
      </c>
      <c r="D65" s="145"/>
      <c r="E65" s="152">
        <v>5.5E-2</v>
      </c>
      <c r="F65" s="141" t="s">
        <v>269</v>
      </c>
    </row>
    <row r="66" spans="1:6" x14ac:dyDescent="0.2">
      <c r="A66" s="139" t="s">
        <v>272</v>
      </c>
      <c r="B66" s="142">
        <v>110</v>
      </c>
      <c r="C66" s="142">
        <v>100</v>
      </c>
      <c r="D66" s="143"/>
      <c r="E66" s="151">
        <f>105+10</f>
        <v>115</v>
      </c>
      <c r="F66" s="141" t="s">
        <v>269</v>
      </c>
    </row>
    <row r="67" spans="1:6" x14ac:dyDescent="0.2">
      <c r="A67" s="139" t="s">
        <v>72</v>
      </c>
      <c r="B67" s="144">
        <v>0.85</v>
      </c>
      <c r="C67" s="144">
        <v>0.9</v>
      </c>
      <c r="D67" s="145"/>
      <c r="E67" s="152">
        <v>0.875</v>
      </c>
      <c r="F67" s="141" t="s">
        <v>269</v>
      </c>
    </row>
    <row r="68" spans="1:6" x14ac:dyDescent="0.2">
      <c r="A68" s="146" t="s">
        <v>273</v>
      </c>
      <c r="B68" s="147">
        <v>0.5</v>
      </c>
      <c r="C68" s="147">
        <v>0.5</v>
      </c>
      <c r="D68" s="148"/>
      <c r="E68" s="153">
        <v>0.5</v>
      </c>
      <c r="F68" s="154" t="s">
        <v>269</v>
      </c>
    </row>
    <row r="69" spans="1:6" x14ac:dyDescent="0.2">
      <c r="B69" s="1"/>
      <c r="C69" s="1"/>
    </row>
    <row r="70" spans="1:6" x14ac:dyDescent="0.2">
      <c r="B70" s="135"/>
      <c r="C70" s="135"/>
      <c r="D70" s="135"/>
    </row>
  </sheetData>
  <phoneticPr fontId="3" type="noConversion"/>
  <pageMargins left="0.5" right="1.0416666666666701E-2" top="1" bottom="0.5" header="0.5" footer="0.5"/>
  <pageSetup paperSize="3" scale="125" orientation="landscape" r:id="rId1"/>
  <headerFooter alignWithMargins="0">
    <oddHeader>&amp;L&amp;"Arial,Bold"2. Income Statement: Market-rate Rental Housing&amp;CTEAM :2021-1920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71"/>
  <sheetViews>
    <sheetView view="pageLayout" topLeftCell="A43" zoomScale="80" zoomScaleNormal="80" zoomScalePageLayoutView="80" workbookViewId="0">
      <selection activeCell="A39" sqref="A39:F67"/>
    </sheetView>
  </sheetViews>
  <sheetFormatPr defaultColWidth="9.140625" defaultRowHeight="12.75" x14ac:dyDescent="0.2"/>
  <cols>
    <col min="1" max="1" width="23.140625" style="1" customWidth="1"/>
    <col min="2" max="2" width="12" style="3" customWidth="1"/>
    <col min="3" max="3" width="17.7109375" style="3" bestFit="1" customWidth="1"/>
    <col min="4" max="13" width="12.7109375" style="1" customWidth="1"/>
    <col min="14" max="14" width="9.140625" style="1"/>
    <col min="15" max="15" width="17.85546875" style="1" customWidth="1"/>
    <col min="16" max="16" width="10.85546875" style="1" customWidth="1"/>
    <col min="17" max="17" width="9.28515625" style="1" bestFit="1" customWidth="1"/>
    <col min="18" max="18" width="13.28515625" style="1" bestFit="1" customWidth="1"/>
    <col min="19" max="19" width="12.28515625" style="1" bestFit="1" customWidth="1"/>
    <col min="20" max="16384" width="9.140625" style="1"/>
  </cols>
  <sheetData>
    <row r="2" spans="1:13" x14ac:dyDescent="0.2">
      <c r="A2" s="119"/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86" t="s">
        <v>1</v>
      </c>
      <c r="M2" s="87"/>
    </row>
    <row r="4" spans="1:13" x14ac:dyDescent="0.2">
      <c r="B4" s="63"/>
      <c r="C4" s="158" t="s">
        <v>2</v>
      </c>
      <c r="D4" s="159" t="s">
        <v>115</v>
      </c>
      <c r="E4" s="160"/>
      <c r="F4" s="161"/>
      <c r="G4" s="162" t="s">
        <v>116</v>
      </c>
      <c r="H4" s="163"/>
      <c r="I4" s="164"/>
      <c r="J4" s="165" t="s">
        <v>117</v>
      </c>
      <c r="K4" s="166"/>
      <c r="L4" s="167"/>
      <c r="M4" s="168"/>
    </row>
    <row r="5" spans="1:13" x14ac:dyDescent="0.2">
      <c r="A5" s="5"/>
      <c r="B5" s="64" t="s">
        <v>58</v>
      </c>
      <c r="C5" s="113" t="s">
        <v>4</v>
      </c>
      <c r="D5" s="82">
        <v>2023</v>
      </c>
      <c r="E5" s="81">
        <f>D5+1</f>
        <v>2024</v>
      </c>
      <c r="F5" s="81">
        <f t="shared" ref="F5:K5" si="0">E5+1</f>
        <v>2025</v>
      </c>
      <c r="G5" s="81">
        <f t="shared" si="0"/>
        <v>2026</v>
      </c>
      <c r="H5" s="81">
        <f t="shared" si="0"/>
        <v>2027</v>
      </c>
      <c r="I5" s="81">
        <f t="shared" si="0"/>
        <v>2028</v>
      </c>
      <c r="J5" s="81">
        <f t="shared" si="0"/>
        <v>2029</v>
      </c>
      <c r="K5" s="81">
        <f t="shared" si="0"/>
        <v>2030</v>
      </c>
      <c r="L5" s="81">
        <f>K5+1</f>
        <v>2031</v>
      </c>
      <c r="M5" s="81">
        <f>L5+1</f>
        <v>2032</v>
      </c>
    </row>
    <row r="6" spans="1:13" x14ac:dyDescent="0.2">
      <c r="A6" s="10" t="s">
        <v>78</v>
      </c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x14ac:dyDescent="0.2">
      <c r="A7" s="97" t="s">
        <v>59</v>
      </c>
      <c r="B7" s="29">
        <v>0.02</v>
      </c>
      <c r="C7" s="29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">
      <c r="A8" s="97" t="s">
        <v>79</v>
      </c>
      <c r="B8" s="70"/>
      <c r="C8" s="70"/>
      <c r="D8" s="171">
        <f>$B$62*D24</f>
        <v>400</v>
      </c>
      <c r="E8" s="171">
        <f>$B$62*E24</f>
        <v>320</v>
      </c>
      <c r="F8" s="171">
        <f>$B$62*F24</f>
        <v>79.999999999999986</v>
      </c>
      <c r="G8" s="171">
        <f>$C$62*G24</f>
        <v>0</v>
      </c>
      <c r="H8" s="171">
        <f>$C$62*H24</f>
        <v>0</v>
      </c>
      <c r="I8" s="171">
        <f>$C$62*I24</f>
        <v>0</v>
      </c>
      <c r="J8" s="171">
        <f>$D$62*J24</f>
        <v>360</v>
      </c>
      <c r="K8" s="171">
        <f>$D$62*K24</f>
        <v>400</v>
      </c>
      <c r="L8" s="171">
        <f>$D$62*L24</f>
        <v>24</v>
      </c>
      <c r="M8" s="171">
        <f>$D$62*M24</f>
        <v>16</v>
      </c>
    </row>
    <row r="9" spans="1:13" x14ac:dyDescent="0.2">
      <c r="A9" s="97" t="s">
        <v>274</v>
      </c>
      <c r="B9" s="67">
        <f>E57</f>
        <v>587691</v>
      </c>
      <c r="C9" s="70"/>
      <c r="D9" s="171">
        <f>$B$57*D24</f>
        <v>208164.5</v>
      </c>
      <c r="E9" s="171">
        <f>$B$57*E24</f>
        <v>166531.6</v>
      </c>
      <c r="F9" s="171">
        <f>$B$57*F24</f>
        <v>41632.899999999994</v>
      </c>
      <c r="G9" s="171">
        <f>$C$57*G24</f>
        <v>0</v>
      </c>
      <c r="H9" s="171">
        <f>$C$57*H24</f>
        <v>0</v>
      </c>
      <c r="I9" s="171">
        <f>$C$57*I24</f>
        <v>0</v>
      </c>
      <c r="J9" s="171">
        <f>$D$57*J24</f>
        <v>77112.900000000009</v>
      </c>
      <c r="K9" s="171">
        <f>$D$57*K24</f>
        <v>85681</v>
      </c>
      <c r="L9" s="171">
        <f>$D$57*L24</f>
        <v>5140.8599999999997</v>
      </c>
      <c r="M9" s="171">
        <f>$D$57*M24</f>
        <v>3427.2400000000002</v>
      </c>
    </row>
    <row r="10" spans="1:13" x14ac:dyDescent="0.2">
      <c r="A10" s="97" t="s">
        <v>275</v>
      </c>
      <c r="B10" s="186">
        <f>E66</f>
        <v>100</v>
      </c>
      <c r="C10" s="186">
        <f>B10</f>
        <v>100</v>
      </c>
      <c r="D10" s="187">
        <f>C10*(1+$B$7)</f>
        <v>102</v>
      </c>
      <c r="E10" s="187">
        <f t="shared" ref="E10:M10" si="1">D10*(1+$B$7)</f>
        <v>104.04</v>
      </c>
      <c r="F10" s="187">
        <f t="shared" si="1"/>
        <v>106.1208</v>
      </c>
      <c r="G10" s="187">
        <f t="shared" si="1"/>
        <v>108.243216</v>
      </c>
      <c r="H10" s="187">
        <f t="shared" si="1"/>
        <v>110.40808032000001</v>
      </c>
      <c r="I10" s="187">
        <f t="shared" si="1"/>
        <v>112.61624192640001</v>
      </c>
      <c r="J10" s="187">
        <f t="shared" si="1"/>
        <v>114.868566764928</v>
      </c>
      <c r="K10" s="187">
        <f t="shared" si="1"/>
        <v>117.16593810022657</v>
      </c>
      <c r="L10" s="187">
        <f t="shared" si="1"/>
        <v>119.5092568622311</v>
      </c>
      <c r="M10" s="187">
        <f t="shared" si="1"/>
        <v>121.89944199947573</v>
      </c>
    </row>
    <row r="11" spans="1:13" x14ac:dyDescent="0.2">
      <c r="A11" s="179" t="s">
        <v>287</v>
      </c>
      <c r="B11" s="56"/>
      <c r="C11" s="70"/>
      <c r="D11" s="169">
        <v>0.2</v>
      </c>
      <c r="E11" s="169">
        <v>0.7</v>
      </c>
      <c r="F11" s="169">
        <f>1-(E11+D11)</f>
        <v>0.10000000000000009</v>
      </c>
      <c r="G11" s="169">
        <v>0.7</v>
      </c>
      <c r="H11" s="169">
        <v>0.2</v>
      </c>
      <c r="I11" s="169">
        <f>1-(H11+G11)</f>
        <v>0.10000000000000009</v>
      </c>
      <c r="J11" s="169">
        <v>0.7</v>
      </c>
      <c r="K11" s="169">
        <v>0.2</v>
      </c>
      <c r="L11" s="169">
        <v>0.1</v>
      </c>
      <c r="M11" s="169">
        <f>1-(L11+K11+J11)</f>
        <v>0</v>
      </c>
    </row>
    <row r="12" spans="1:13" x14ac:dyDescent="0.2">
      <c r="A12" s="97" t="s">
        <v>80</v>
      </c>
      <c r="B12" s="56"/>
      <c r="C12" s="56"/>
      <c r="D12" s="171">
        <f>D11*SUM($D$8:$F$8)</f>
        <v>160</v>
      </c>
      <c r="E12" s="171">
        <f t="shared" ref="E12:F12" si="2">E11*SUM($D$8:$F$8)</f>
        <v>560</v>
      </c>
      <c r="F12" s="171">
        <f t="shared" si="2"/>
        <v>80.000000000000071</v>
      </c>
      <c r="G12" s="171">
        <f>G11*SUM($G$8:$I$8)</f>
        <v>0</v>
      </c>
      <c r="H12" s="171">
        <f t="shared" ref="H12:I12" si="3">H11*SUM($G$8:$I$8)</f>
        <v>0</v>
      </c>
      <c r="I12" s="171">
        <f t="shared" si="3"/>
        <v>0</v>
      </c>
      <c r="J12" s="171">
        <f>J11*SUM($J$8:$M$8)</f>
        <v>560</v>
      </c>
      <c r="K12" s="171">
        <f t="shared" ref="K12:M12" si="4">K11*SUM($J$8:$M$8)</f>
        <v>160</v>
      </c>
      <c r="L12" s="171">
        <f t="shared" si="4"/>
        <v>80</v>
      </c>
      <c r="M12" s="171">
        <f t="shared" si="4"/>
        <v>0</v>
      </c>
    </row>
    <row r="13" spans="1:13" x14ac:dyDescent="0.2">
      <c r="A13" s="97" t="s">
        <v>288</v>
      </c>
      <c r="B13" s="56"/>
      <c r="C13" s="56"/>
      <c r="D13" s="171">
        <f>B15*D11*SUM($D$9:$F$9)</f>
        <v>66612.640000000014</v>
      </c>
      <c r="E13" s="171">
        <f>B15*E11*SUM($D$9:F$9)</f>
        <v>233144.24000000002</v>
      </c>
      <c r="F13" s="171">
        <f>B15*F11*SUM($D$9:F$9)</f>
        <v>33306.320000000036</v>
      </c>
      <c r="G13" s="171">
        <f>$B$15*G11*SUM($G$9:$I$9)</f>
        <v>0</v>
      </c>
      <c r="H13" s="171">
        <f t="shared" ref="H13:I13" si="5">$B$15*H11*SUM($G$9:$I$9)</f>
        <v>0</v>
      </c>
      <c r="I13" s="171">
        <f t="shared" si="5"/>
        <v>0</v>
      </c>
      <c r="J13" s="171">
        <f>$B$15*J11*SUM($J$9:M$9)</f>
        <v>95962.720000000016</v>
      </c>
      <c r="K13" s="171">
        <f>$B$15*K11*SUM($J$9:N$9)</f>
        <v>27417.920000000006</v>
      </c>
      <c r="L13" s="171">
        <f>$B$15*L11*SUM($J$9:O$9)</f>
        <v>13708.960000000003</v>
      </c>
      <c r="M13" s="171">
        <f>$B$15*M11*SUM($J$9:P$9)</f>
        <v>0</v>
      </c>
    </row>
    <row r="14" spans="1:13" x14ac:dyDescent="0.2">
      <c r="A14" s="97" t="s">
        <v>69</v>
      </c>
      <c r="B14" s="67">
        <f>E62</f>
        <v>800</v>
      </c>
      <c r="C14" s="25"/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3" x14ac:dyDescent="0.2">
      <c r="A15" s="97" t="s">
        <v>81</v>
      </c>
      <c r="B15" s="29">
        <f>D63</f>
        <v>0.80000000000000016</v>
      </c>
      <c r="C15" s="25"/>
      <c r="D15" s="171">
        <f>D9*$B$15</f>
        <v>166531.60000000003</v>
      </c>
      <c r="E15" s="171">
        <f t="shared" ref="E15:M15" si="6">E9*$B$15</f>
        <v>133225.28000000003</v>
      </c>
      <c r="F15" s="171">
        <f t="shared" si="6"/>
        <v>33306.32</v>
      </c>
      <c r="G15" s="171">
        <f t="shared" si="6"/>
        <v>0</v>
      </c>
      <c r="H15" s="171">
        <f t="shared" si="6"/>
        <v>0</v>
      </c>
      <c r="I15" s="171">
        <f t="shared" si="6"/>
        <v>0</v>
      </c>
      <c r="J15" s="171">
        <f t="shared" si="6"/>
        <v>61690.320000000022</v>
      </c>
      <c r="K15" s="171">
        <f t="shared" si="6"/>
        <v>68544.800000000017</v>
      </c>
      <c r="L15" s="171">
        <f t="shared" si="6"/>
        <v>4112.6880000000001</v>
      </c>
      <c r="M15" s="171">
        <f t="shared" si="6"/>
        <v>2741.7920000000008</v>
      </c>
    </row>
    <row r="16" spans="1:13" x14ac:dyDescent="0.2">
      <c r="A16" s="17" t="s">
        <v>82</v>
      </c>
      <c r="B16" s="190">
        <f>B64-40</f>
        <v>185</v>
      </c>
      <c r="C16" s="190">
        <f>B16</f>
        <v>185</v>
      </c>
      <c r="D16" s="176">
        <f>C16*(1+$B$7)</f>
        <v>188.70000000000002</v>
      </c>
      <c r="E16" s="176">
        <f t="shared" ref="E16:M16" si="7">D16*(1+$B$7)</f>
        <v>192.47400000000002</v>
      </c>
      <c r="F16" s="176">
        <f t="shared" si="7"/>
        <v>196.32348000000002</v>
      </c>
      <c r="G16" s="176">
        <f t="shared" si="7"/>
        <v>200.24994960000001</v>
      </c>
      <c r="H16" s="176">
        <f t="shared" si="7"/>
        <v>204.25494859200001</v>
      </c>
      <c r="I16" s="176">
        <f t="shared" si="7"/>
        <v>208.34004756384002</v>
      </c>
      <c r="J16" s="176">
        <f t="shared" si="7"/>
        <v>212.50684851511681</v>
      </c>
      <c r="K16" s="176">
        <f t="shared" si="7"/>
        <v>216.75698548541916</v>
      </c>
      <c r="L16" s="176">
        <f t="shared" si="7"/>
        <v>221.09212519512755</v>
      </c>
      <c r="M16" s="176">
        <f t="shared" si="7"/>
        <v>225.5139676990301</v>
      </c>
    </row>
    <row r="17" spans="1:13" x14ac:dyDescent="0.2">
      <c r="A17" s="10" t="s">
        <v>5</v>
      </c>
      <c r="B17" s="56"/>
      <c r="C17" s="56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">
      <c r="A18" s="97" t="s">
        <v>83</v>
      </c>
      <c r="B18" s="25"/>
      <c r="C18" s="25"/>
      <c r="D18" s="38">
        <f>D13*D16</f>
        <v>12569805.168000003</v>
      </c>
      <c r="E18" s="38">
        <f t="shared" ref="E18:M18" si="8">E13*E16</f>
        <v>44874204.449760005</v>
      </c>
      <c r="F18" s="38">
        <f t="shared" si="8"/>
        <v>6538812.6483936077</v>
      </c>
      <c r="G18" s="38">
        <f t="shared" si="8"/>
        <v>0</v>
      </c>
      <c r="H18" s="38">
        <f t="shared" si="8"/>
        <v>0</v>
      </c>
      <c r="I18" s="38">
        <f t="shared" si="8"/>
        <v>0</v>
      </c>
      <c r="J18" s="38">
        <f t="shared" si="8"/>
        <v>20392735.202138573</v>
      </c>
      <c r="K18" s="38">
        <f t="shared" si="8"/>
        <v>5943025.6874803854</v>
      </c>
      <c r="L18" s="38">
        <f t="shared" si="8"/>
        <v>3030943.1006149966</v>
      </c>
      <c r="M18" s="38">
        <f t="shared" si="8"/>
        <v>0</v>
      </c>
    </row>
    <row r="19" spans="1:13" x14ac:dyDescent="0.2">
      <c r="A19" s="97" t="s">
        <v>84</v>
      </c>
      <c r="B19" s="191">
        <f>B47</f>
        <v>0.05</v>
      </c>
      <c r="C19" s="29"/>
      <c r="D19" s="38">
        <f>-1*D18*$B$19</f>
        <v>-628490.25840000017</v>
      </c>
      <c r="E19" s="38">
        <f t="shared" ref="E19:M19" si="9">-1*E18*$B$19</f>
        <v>-2243710.2224880005</v>
      </c>
      <c r="F19" s="38">
        <f t="shared" si="9"/>
        <v>-326940.63241968042</v>
      </c>
      <c r="G19" s="38">
        <f t="shared" si="9"/>
        <v>0</v>
      </c>
      <c r="H19" s="38">
        <f t="shared" si="9"/>
        <v>0</v>
      </c>
      <c r="I19" s="38">
        <f t="shared" si="9"/>
        <v>0</v>
      </c>
      <c r="J19" s="38">
        <f t="shared" si="9"/>
        <v>-1019636.7601069286</v>
      </c>
      <c r="K19" s="38">
        <f t="shared" si="9"/>
        <v>-297151.28437401931</v>
      </c>
      <c r="L19" s="38">
        <f t="shared" si="9"/>
        <v>-151547.15503074983</v>
      </c>
      <c r="M19" s="38">
        <f t="shared" si="9"/>
        <v>0</v>
      </c>
    </row>
    <row r="20" spans="1:13" x14ac:dyDescent="0.2">
      <c r="A20" s="27" t="s">
        <v>279</v>
      </c>
      <c r="B20" s="192">
        <f>E67</f>
        <v>5.6666666666666671E-2</v>
      </c>
      <c r="C20" s="30"/>
      <c r="D20" s="38">
        <f>-1*D18*$B$20</f>
        <v>-712288.95952000027</v>
      </c>
      <c r="E20" s="38">
        <f t="shared" ref="E20:M20" si="10">-1*E18*$B$20</f>
        <v>-2542871.5854864004</v>
      </c>
      <c r="F20" s="38">
        <f t="shared" si="10"/>
        <v>-370532.71674230444</v>
      </c>
      <c r="G20" s="38">
        <f t="shared" si="10"/>
        <v>0</v>
      </c>
      <c r="H20" s="38">
        <f t="shared" si="10"/>
        <v>0</v>
      </c>
      <c r="I20" s="38">
        <f t="shared" si="10"/>
        <v>0</v>
      </c>
      <c r="J20" s="38">
        <f t="shared" si="10"/>
        <v>-1155588.3281211858</v>
      </c>
      <c r="K20" s="38">
        <f t="shared" si="10"/>
        <v>-336771.45562388853</v>
      </c>
      <c r="L20" s="38">
        <f t="shared" si="10"/>
        <v>-171753.44236818317</v>
      </c>
      <c r="M20" s="38">
        <f t="shared" si="10"/>
        <v>0</v>
      </c>
    </row>
    <row r="21" spans="1:13" x14ac:dyDescent="0.2">
      <c r="A21" s="27" t="s">
        <v>85</v>
      </c>
      <c r="B21" s="192">
        <f>B46</f>
        <v>0.03</v>
      </c>
      <c r="C21" s="30"/>
      <c r="D21" s="38">
        <f>-1*D18*$B$21</f>
        <v>-377094.1550400001</v>
      </c>
      <c r="E21" s="38">
        <f t="shared" ref="E21:M21" si="11">-1*E18*$B$21</f>
        <v>-1346226.1334928002</v>
      </c>
      <c r="F21" s="38">
        <f t="shared" si="11"/>
        <v>-196164.37945180823</v>
      </c>
      <c r="G21" s="38">
        <f t="shared" si="11"/>
        <v>0</v>
      </c>
      <c r="H21" s="38">
        <f t="shared" si="11"/>
        <v>0</v>
      </c>
      <c r="I21" s="38">
        <f t="shared" si="11"/>
        <v>0</v>
      </c>
      <c r="J21" s="38">
        <f t="shared" si="11"/>
        <v>-611782.05606415716</v>
      </c>
      <c r="K21" s="38">
        <f t="shared" si="11"/>
        <v>-178290.77062441155</v>
      </c>
      <c r="L21" s="38">
        <f t="shared" si="11"/>
        <v>-90928.293018449898</v>
      </c>
      <c r="M21" s="38">
        <f t="shared" si="11"/>
        <v>0</v>
      </c>
    </row>
    <row r="22" spans="1:13" x14ac:dyDescent="0.2">
      <c r="A22" s="99" t="s">
        <v>21</v>
      </c>
      <c r="B22" s="31"/>
      <c r="C22" s="31"/>
      <c r="D22" s="37">
        <f>SUM(D18:D21)</f>
        <v>10851931.795040002</v>
      </c>
      <c r="E22" s="37">
        <f t="shared" ref="E22:M22" si="12">SUM(E18:E21)</f>
        <v>38741396.508292809</v>
      </c>
      <c r="F22" s="37">
        <f t="shared" si="12"/>
        <v>5645174.9197798148</v>
      </c>
      <c r="G22" s="37">
        <f t="shared" si="12"/>
        <v>0</v>
      </c>
      <c r="H22" s="37">
        <f t="shared" si="12"/>
        <v>0</v>
      </c>
      <c r="I22" s="37">
        <f t="shared" si="12"/>
        <v>0</v>
      </c>
      <c r="J22" s="37">
        <f t="shared" si="12"/>
        <v>17605728.0578463</v>
      </c>
      <c r="K22" s="37">
        <f t="shared" si="12"/>
        <v>5130812.1768580666</v>
      </c>
      <c r="L22" s="37">
        <f t="shared" si="12"/>
        <v>2616714.2101976136</v>
      </c>
      <c r="M22" s="37">
        <f t="shared" si="12"/>
        <v>0</v>
      </c>
    </row>
    <row r="23" spans="1:13" x14ac:dyDescent="0.2">
      <c r="A23" s="10" t="s">
        <v>15</v>
      </c>
      <c r="B23" s="56"/>
      <c r="C23" s="56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x14ac:dyDescent="0.2">
      <c r="A24" s="97" t="s">
        <v>75</v>
      </c>
      <c r="B24" s="25"/>
      <c r="C24" s="25"/>
      <c r="D24" s="206">
        <v>0.5</v>
      </c>
      <c r="E24" s="206">
        <v>0.4</v>
      </c>
      <c r="F24" s="206">
        <f>1-(D24+E24)</f>
        <v>9.9999999999999978E-2</v>
      </c>
      <c r="G24" s="206">
        <v>0.4</v>
      </c>
      <c r="H24" s="206">
        <v>0.4</v>
      </c>
      <c r="I24" s="206">
        <f>1-(G24+H24)</f>
        <v>0.19999999999999996</v>
      </c>
      <c r="J24" s="206">
        <v>0.45</v>
      </c>
      <c r="K24" s="206">
        <v>0.5</v>
      </c>
      <c r="L24" s="206">
        <v>0.03</v>
      </c>
      <c r="M24" s="206">
        <v>0.02</v>
      </c>
    </row>
    <row r="25" spans="1:13" x14ac:dyDescent="0.2">
      <c r="A25" s="97" t="s">
        <v>276</v>
      </c>
      <c r="B25" s="1"/>
      <c r="C25" s="1"/>
      <c r="D25" s="188">
        <f>D24</f>
        <v>0.5</v>
      </c>
      <c r="E25" s="188">
        <f>D25+E24</f>
        <v>0.9</v>
      </c>
      <c r="F25" s="188">
        <f>E25+F24</f>
        <v>1</v>
      </c>
      <c r="G25" s="188">
        <f>G24</f>
        <v>0.4</v>
      </c>
      <c r="H25" s="188">
        <f>G25+H24</f>
        <v>0.8</v>
      </c>
      <c r="I25" s="188">
        <f>H25+I24</f>
        <v>1</v>
      </c>
      <c r="J25" s="188">
        <f>J24</f>
        <v>0.45</v>
      </c>
      <c r="K25" s="188">
        <f>J25+K24</f>
        <v>0.95</v>
      </c>
      <c r="L25" s="188">
        <f>K25+L24</f>
        <v>0.98</v>
      </c>
      <c r="M25" s="188">
        <f>L25+M24</f>
        <v>1</v>
      </c>
    </row>
    <row r="26" spans="1:13" x14ac:dyDescent="0.2">
      <c r="A26" s="97" t="s">
        <v>15</v>
      </c>
      <c r="B26" s="157">
        <f>D66</f>
        <v>100</v>
      </c>
      <c r="C26" s="25"/>
      <c r="D26" s="38">
        <f>D10*D9*-1</f>
        <v>-21232779</v>
      </c>
      <c r="E26" s="38">
        <f t="shared" ref="E26:M26" si="13">E10*E9*-1</f>
        <v>-17325947.664000001</v>
      </c>
      <c r="F26" s="38">
        <f t="shared" si="13"/>
        <v>-4418116.6543199997</v>
      </c>
      <c r="G26" s="38">
        <f t="shared" si="13"/>
        <v>0</v>
      </c>
      <c r="H26" s="38">
        <f t="shared" si="13"/>
        <v>0</v>
      </c>
      <c r="I26" s="38">
        <f t="shared" si="13"/>
        <v>0</v>
      </c>
      <c r="J26" s="38">
        <f t="shared" si="13"/>
        <v>-8857848.3020872176</v>
      </c>
      <c r="K26" s="38">
        <f t="shared" si="13"/>
        <v>-10038894.742365513</v>
      </c>
      <c r="L26" s="38">
        <f t="shared" si="13"/>
        <v>-614380.3582327693</v>
      </c>
      <c r="M26" s="38">
        <f t="shared" si="13"/>
        <v>-417778.64359828323</v>
      </c>
    </row>
    <row r="27" spans="1:13" x14ac:dyDescent="0.2">
      <c r="A27" s="97" t="s">
        <v>118</v>
      </c>
      <c r="B27" s="77">
        <v>0.2</v>
      </c>
      <c r="C27" s="25"/>
      <c r="D27" s="38">
        <f>$B$27*D26</f>
        <v>-4246555.8</v>
      </c>
      <c r="E27" s="38">
        <f t="shared" ref="E27:M27" si="14">$B$27*E26</f>
        <v>-3465189.5328000002</v>
      </c>
      <c r="F27" s="38">
        <f t="shared" si="14"/>
        <v>-883623.33086400002</v>
      </c>
      <c r="G27" s="38">
        <f t="shared" si="14"/>
        <v>0</v>
      </c>
      <c r="H27" s="38">
        <f t="shared" si="14"/>
        <v>0</v>
      </c>
      <c r="I27" s="38">
        <f t="shared" si="14"/>
        <v>0</v>
      </c>
      <c r="J27" s="38">
        <f t="shared" si="14"/>
        <v>-1771569.6604174436</v>
      </c>
      <c r="K27" s="38">
        <f t="shared" si="14"/>
        <v>-2007778.9484731026</v>
      </c>
      <c r="L27" s="38">
        <f t="shared" si="14"/>
        <v>-122876.07164655387</v>
      </c>
      <c r="M27" s="38">
        <f t="shared" si="14"/>
        <v>-83555.728719656647</v>
      </c>
    </row>
    <row r="28" spans="1:13" x14ac:dyDescent="0.2">
      <c r="A28" s="97" t="s">
        <v>52</v>
      </c>
      <c r="B28" s="25"/>
      <c r="C28" s="25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x14ac:dyDescent="0.2">
      <c r="A29" s="99" t="s">
        <v>19</v>
      </c>
      <c r="B29" s="31"/>
      <c r="C29" s="31"/>
      <c r="D29" s="37">
        <f>SUM(D26:D28)</f>
        <v>-25479334.800000001</v>
      </c>
      <c r="E29" s="37">
        <f t="shared" ref="E29:M29" si="15">SUM(E26:E28)</f>
        <v>-20791137.196800001</v>
      </c>
      <c r="F29" s="37">
        <f t="shared" si="15"/>
        <v>-5301739.9851839999</v>
      </c>
      <c r="G29" s="37">
        <f t="shared" si="15"/>
        <v>0</v>
      </c>
      <c r="H29" s="37">
        <f t="shared" si="15"/>
        <v>0</v>
      </c>
      <c r="I29" s="37">
        <f t="shared" si="15"/>
        <v>0</v>
      </c>
      <c r="J29" s="37">
        <f t="shared" si="15"/>
        <v>-10629417.962504661</v>
      </c>
      <c r="K29" s="37">
        <f t="shared" si="15"/>
        <v>-12046673.690838616</v>
      </c>
      <c r="L29" s="37">
        <f t="shared" si="15"/>
        <v>-737256.42987932311</v>
      </c>
      <c r="M29" s="37">
        <f t="shared" si="15"/>
        <v>-501334.37231793988</v>
      </c>
    </row>
    <row r="30" spans="1:13" x14ac:dyDescent="0.2">
      <c r="A30" s="10" t="s">
        <v>20</v>
      </c>
      <c r="B30" s="56"/>
      <c r="C30" s="56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x14ac:dyDescent="0.2">
      <c r="A31" s="97" t="s">
        <v>21</v>
      </c>
      <c r="B31" s="25"/>
      <c r="C31" s="189">
        <f>C22</f>
        <v>0</v>
      </c>
      <c r="D31" s="189">
        <f t="shared" ref="D31:M31" si="16">D22</f>
        <v>10851931.795040002</v>
      </c>
      <c r="E31" s="189">
        <f t="shared" si="16"/>
        <v>38741396.508292809</v>
      </c>
      <c r="F31" s="189">
        <f t="shared" si="16"/>
        <v>5645174.9197798148</v>
      </c>
      <c r="G31" s="189">
        <f t="shared" si="16"/>
        <v>0</v>
      </c>
      <c r="H31" s="189">
        <f t="shared" si="16"/>
        <v>0</v>
      </c>
      <c r="I31" s="189">
        <f t="shared" si="16"/>
        <v>0</v>
      </c>
      <c r="J31" s="189">
        <f t="shared" si="16"/>
        <v>17605728.0578463</v>
      </c>
      <c r="K31" s="189">
        <f t="shared" si="16"/>
        <v>5130812.1768580666</v>
      </c>
      <c r="L31" s="189">
        <f t="shared" si="16"/>
        <v>2616714.2101976136</v>
      </c>
      <c r="M31" s="189">
        <f t="shared" si="16"/>
        <v>0</v>
      </c>
    </row>
    <row r="32" spans="1:13" x14ac:dyDescent="0.2">
      <c r="A32" s="97" t="s">
        <v>19</v>
      </c>
      <c r="B32" s="29"/>
      <c r="C32" s="189">
        <f>C29</f>
        <v>0</v>
      </c>
      <c r="D32" s="189">
        <f t="shared" ref="D32:M32" si="17">D29</f>
        <v>-25479334.800000001</v>
      </c>
      <c r="E32" s="189">
        <f t="shared" si="17"/>
        <v>-20791137.196800001</v>
      </c>
      <c r="F32" s="189">
        <f t="shared" si="17"/>
        <v>-5301739.9851839999</v>
      </c>
      <c r="G32" s="189">
        <f t="shared" si="17"/>
        <v>0</v>
      </c>
      <c r="H32" s="189">
        <f t="shared" si="17"/>
        <v>0</v>
      </c>
      <c r="I32" s="189">
        <f t="shared" si="17"/>
        <v>0</v>
      </c>
      <c r="J32" s="189">
        <f t="shared" si="17"/>
        <v>-10629417.962504661</v>
      </c>
      <c r="K32" s="189">
        <f t="shared" si="17"/>
        <v>-12046673.690838616</v>
      </c>
      <c r="L32" s="189">
        <f t="shared" si="17"/>
        <v>-737256.42987932311</v>
      </c>
      <c r="M32" s="189">
        <f t="shared" si="17"/>
        <v>-501334.37231793988</v>
      </c>
    </row>
    <row r="33" spans="1:13" x14ac:dyDescent="0.2">
      <c r="A33" s="17" t="s">
        <v>24</v>
      </c>
      <c r="B33" s="69"/>
      <c r="C33" s="190">
        <f>SUM(C31:C32)</f>
        <v>0</v>
      </c>
      <c r="D33" s="190">
        <f t="shared" ref="D33:M33" si="18">SUM(D31:D32)</f>
        <v>-14627403.004959999</v>
      </c>
      <c r="E33" s="190">
        <f t="shared" si="18"/>
        <v>17950259.311492808</v>
      </c>
      <c r="F33" s="190">
        <f t="shared" si="18"/>
        <v>343434.93459581491</v>
      </c>
      <c r="G33" s="190">
        <f t="shared" si="18"/>
        <v>0</v>
      </c>
      <c r="H33" s="190">
        <f t="shared" si="18"/>
        <v>0</v>
      </c>
      <c r="I33" s="190">
        <f t="shared" si="18"/>
        <v>0</v>
      </c>
      <c r="J33" s="190">
        <f t="shared" si="18"/>
        <v>6976310.0953416396</v>
      </c>
      <c r="K33" s="190">
        <f t="shared" si="18"/>
        <v>-6915861.5139805498</v>
      </c>
      <c r="L33" s="190">
        <f t="shared" si="18"/>
        <v>1879457.7803182905</v>
      </c>
      <c r="M33" s="190">
        <f t="shared" si="18"/>
        <v>-501334.37231793988</v>
      </c>
    </row>
    <row r="34" spans="1:13" x14ac:dyDescent="0.2">
      <c r="A34" s="10" t="s">
        <v>27</v>
      </c>
      <c r="B34" s="70"/>
      <c r="C34" s="194">
        <f>NPV(E65,D33:M33)</f>
        <v>3643067.9464173461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">
      <c r="A35" s="19" t="s">
        <v>29</v>
      </c>
      <c r="B35" s="31"/>
      <c r="C35" s="69">
        <f>IRR(D33:M33,0)</f>
        <v>0.29299316055489721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x14ac:dyDescent="0.2">
      <c r="A36" s="19" t="s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9" spans="1:13" x14ac:dyDescent="0.2">
      <c r="A39" s="136" t="s">
        <v>245</v>
      </c>
      <c r="B39" s="138"/>
      <c r="C39" s="1"/>
    </row>
    <row r="40" spans="1:13" x14ac:dyDescent="0.2">
      <c r="A40" s="139" t="s">
        <v>246</v>
      </c>
      <c r="B40" s="195">
        <v>0.02</v>
      </c>
      <c r="C40" s="1"/>
    </row>
    <row r="41" spans="1:13" x14ac:dyDescent="0.2">
      <c r="A41" s="139" t="s">
        <v>247</v>
      </c>
      <c r="B41" s="195">
        <v>0.1</v>
      </c>
      <c r="C41" s="1"/>
    </row>
    <row r="42" spans="1:13" x14ac:dyDescent="0.2">
      <c r="A42" s="139" t="s">
        <v>248</v>
      </c>
      <c r="B42" s="196">
        <v>3.5000000000000003E-2</v>
      </c>
      <c r="C42" s="1"/>
    </row>
    <row r="43" spans="1:13" x14ac:dyDescent="0.2">
      <c r="A43" s="139" t="s">
        <v>249</v>
      </c>
      <c r="B43" s="195">
        <v>0.05</v>
      </c>
      <c r="C43" s="1"/>
    </row>
    <row r="44" spans="1:13" x14ac:dyDescent="0.2">
      <c r="A44" s="139" t="s">
        <v>250</v>
      </c>
      <c r="B44" s="195">
        <v>0.6</v>
      </c>
      <c r="C44" s="1"/>
    </row>
    <row r="45" spans="1:13" x14ac:dyDescent="0.2">
      <c r="A45" s="139" t="s">
        <v>251</v>
      </c>
      <c r="B45" s="197">
        <v>1.7528999999999999</v>
      </c>
      <c r="C45" s="1" t="s">
        <v>255</v>
      </c>
    </row>
    <row r="46" spans="1:13" x14ac:dyDescent="0.2">
      <c r="A46" s="139" t="s">
        <v>85</v>
      </c>
      <c r="B46" s="198">
        <v>0.03</v>
      </c>
      <c r="C46" s="1"/>
    </row>
    <row r="47" spans="1:13" x14ac:dyDescent="0.2">
      <c r="A47" s="199" t="s">
        <v>252</v>
      </c>
      <c r="B47" s="198">
        <v>0.05</v>
      </c>
      <c r="C47" s="1"/>
    </row>
    <row r="48" spans="1:13" x14ac:dyDescent="0.2">
      <c r="A48" s="199" t="s">
        <v>253</v>
      </c>
      <c r="B48" s="198">
        <v>0.03</v>
      </c>
      <c r="C48" s="1"/>
    </row>
    <row r="49" spans="1:6" x14ac:dyDescent="0.2">
      <c r="A49" s="199" t="s">
        <v>254</v>
      </c>
      <c r="B49" s="200">
        <v>0.01</v>
      </c>
      <c r="C49" s="1"/>
    </row>
    <row r="50" spans="1:6" x14ac:dyDescent="0.2">
      <c r="A50" s="201" t="s">
        <v>282</v>
      </c>
      <c r="B50" s="202">
        <v>0</v>
      </c>
      <c r="C50" s="1"/>
    </row>
    <row r="51" spans="1:6" x14ac:dyDescent="0.2">
      <c r="A51" s="530"/>
      <c r="B51" s="531"/>
      <c r="C51" s="1"/>
    </row>
    <row r="52" spans="1:6" x14ac:dyDescent="0.2">
      <c r="A52" s="530"/>
      <c r="B52" s="531"/>
      <c r="C52" s="1"/>
    </row>
    <row r="53" spans="1:6" x14ac:dyDescent="0.2">
      <c r="B53" s="1"/>
      <c r="C53" s="1"/>
    </row>
    <row r="54" spans="1:6" x14ac:dyDescent="0.2">
      <c r="A54" s="136" t="s">
        <v>256</v>
      </c>
      <c r="B54" s="137"/>
      <c r="C54" s="137"/>
      <c r="D54" s="138"/>
      <c r="E54" s="149"/>
      <c r="F54" s="150"/>
    </row>
    <row r="55" spans="1:6" x14ac:dyDescent="0.2">
      <c r="A55" s="139" t="s">
        <v>257</v>
      </c>
      <c r="B55" s="102" t="s">
        <v>226</v>
      </c>
      <c r="C55" s="105" t="s">
        <v>187</v>
      </c>
      <c r="D55" s="140" t="s">
        <v>117</v>
      </c>
      <c r="E55" s="139"/>
      <c r="F55" s="141"/>
    </row>
    <row r="56" spans="1:6" x14ac:dyDescent="0.2">
      <c r="A56" s="146" t="s">
        <v>261</v>
      </c>
      <c r="B56" s="5" t="s">
        <v>262</v>
      </c>
      <c r="C56" s="5" t="s">
        <v>263</v>
      </c>
      <c r="D56" s="154" t="s">
        <v>264</v>
      </c>
      <c r="E56" s="146"/>
      <c r="F56" s="154"/>
    </row>
    <row r="57" spans="1:6" x14ac:dyDescent="0.2">
      <c r="A57" s="149" t="s">
        <v>265</v>
      </c>
      <c r="B57" s="184">
        <v>416329</v>
      </c>
      <c r="C57" s="184">
        <v>0</v>
      </c>
      <c r="D57" s="184">
        <v>171362</v>
      </c>
      <c r="E57" s="203">
        <f>SUM(B57:D57)</f>
        <v>587691</v>
      </c>
      <c r="F57" s="150" t="s">
        <v>40</v>
      </c>
    </row>
    <row r="58" spans="1:6" x14ac:dyDescent="0.2">
      <c r="A58" s="139" t="s">
        <v>284</v>
      </c>
      <c r="B58" s="142">
        <v>125</v>
      </c>
      <c r="C58" s="142">
        <v>0</v>
      </c>
      <c r="D58" s="142">
        <v>100</v>
      </c>
      <c r="E58" s="204">
        <f t="shared" ref="E58:E60" si="19">SUM(B58:D58)</f>
        <v>225</v>
      </c>
      <c r="F58" s="141" t="s">
        <v>40</v>
      </c>
    </row>
    <row r="59" spans="1:6" x14ac:dyDescent="0.2">
      <c r="A59" s="139" t="s">
        <v>266</v>
      </c>
      <c r="B59" s="142">
        <v>295</v>
      </c>
      <c r="C59" s="142">
        <v>0</v>
      </c>
      <c r="D59" s="142">
        <v>103</v>
      </c>
      <c r="E59" s="204">
        <f t="shared" si="19"/>
        <v>398</v>
      </c>
      <c r="F59" s="141" t="s">
        <v>40</v>
      </c>
    </row>
    <row r="60" spans="1:6" x14ac:dyDescent="0.2">
      <c r="A60" s="139" t="s">
        <v>267</v>
      </c>
      <c r="B60" s="142">
        <v>188</v>
      </c>
      <c r="C60" s="142">
        <v>0</v>
      </c>
      <c r="D60" s="142">
        <v>33</v>
      </c>
      <c r="E60" s="204">
        <f t="shared" si="19"/>
        <v>221</v>
      </c>
      <c r="F60" s="141" t="s">
        <v>40</v>
      </c>
    </row>
    <row r="61" spans="1:6" x14ac:dyDescent="0.2">
      <c r="A61" s="139" t="s">
        <v>286</v>
      </c>
      <c r="B61" s="142">
        <f>SUM(B58:B60)</f>
        <v>608</v>
      </c>
      <c r="C61" s="142">
        <f t="shared" ref="C61:D61" si="20">SUM(C58:C60)</f>
        <v>0</v>
      </c>
      <c r="D61" s="142">
        <f t="shared" si="20"/>
        <v>236</v>
      </c>
      <c r="E61" s="204">
        <f>SUM(B61:D61)</f>
        <v>844</v>
      </c>
      <c r="F61" s="141" t="s">
        <v>40</v>
      </c>
    </row>
    <row r="62" spans="1:6" x14ac:dyDescent="0.2">
      <c r="A62" s="139" t="s">
        <v>69</v>
      </c>
      <c r="B62" s="142">
        <v>800</v>
      </c>
      <c r="C62" s="142"/>
      <c r="D62" s="142">
        <v>800</v>
      </c>
      <c r="E62" s="205">
        <f t="shared" ref="E62:E67" si="21">AVERAGE(B62:D62)</f>
        <v>800</v>
      </c>
      <c r="F62" s="141" t="s">
        <v>269</v>
      </c>
    </row>
    <row r="63" spans="1:6" x14ac:dyDescent="0.2">
      <c r="A63" s="139" t="s">
        <v>270</v>
      </c>
      <c r="B63" s="144">
        <v>0.79999999999999993</v>
      </c>
      <c r="C63" s="144"/>
      <c r="D63" s="144">
        <v>0.80000000000000016</v>
      </c>
      <c r="E63" s="207">
        <f t="shared" si="21"/>
        <v>0.8</v>
      </c>
      <c r="F63" s="141" t="s">
        <v>269</v>
      </c>
    </row>
    <row r="64" spans="1:6" x14ac:dyDescent="0.2">
      <c r="A64" s="139" t="s">
        <v>285</v>
      </c>
      <c r="B64" s="142">
        <v>225</v>
      </c>
      <c r="C64" s="142"/>
      <c r="D64" s="142">
        <v>225</v>
      </c>
      <c r="E64" s="208">
        <f t="shared" si="21"/>
        <v>225</v>
      </c>
      <c r="F64" s="141" t="s">
        <v>269</v>
      </c>
    </row>
    <row r="65" spans="1:6" x14ac:dyDescent="0.2">
      <c r="A65" s="139" t="s">
        <v>242</v>
      </c>
      <c r="B65" s="144">
        <v>5.8000000000000003E-2</v>
      </c>
      <c r="C65" s="144"/>
      <c r="D65" s="144">
        <v>5.8000000000000003E-2</v>
      </c>
      <c r="E65" s="207">
        <f t="shared" si="21"/>
        <v>5.8000000000000003E-2</v>
      </c>
      <c r="F65" s="141" t="s">
        <v>269</v>
      </c>
    </row>
    <row r="66" spans="1:6" x14ac:dyDescent="0.2">
      <c r="A66" s="139" t="s">
        <v>272</v>
      </c>
      <c r="B66" s="142">
        <v>100</v>
      </c>
      <c r="C66" s="142"/>
      <c r="D66" s="142">
        <v>100</v>
      </c>
      <c r="E66" s="208">
        <f t="shared" si="21"/>
        <v>100</v>
      </c>
      <c r="F66" s="141" t="s">
        <v>269</v>
      </c>
    </row>
    <row r="67" spans="1:6" x14ac:dyDescent="0.2">
      <c r="A67" s="146" t="s">
        <v>279</v>
      </c>
      <c r="B67" s="185">
        <v>5.6666666666666671E-2</v>
      </c>
      <c r="C67" s="185"/>
      <c r="D67" s="185">
        <v>5.6666666666666664E-2</v>
      </c>
      <c r="E67" s="209">
        <f t="shared" si="21"/>
        <v>5.6666666666666671E-2</v>
      </c>
      <c r="F67" s="154" t="s">
        <v>269</v>
      </c>
    </row>
    <row r="71" spans="1:6" x14ac:dyDescent="0.2">
      <c r="F71" s="790"/>
    </row>
  </sheetData>
  <phoneticPr fontId="3" type="noConversion"/>
  <pageMargins left="0.5" right="1.0416666666666701E-2" top="1" bottom="0.5" header="0.5" footer="0.5"/>
  <pageSetup paperSize="3" scale="110" orientation="landscape" r:id="rId1"/>
  <headerFooter alignWithMargins="0">
    <oddHeader>&amp;L&amp;"Arial,Bold"3. Income Statement: Market-rate For Sale Housing&amp;CTEAM :2021-1920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70"/>
  <sheetViews>
    <sheetView view="pageLayout" topLeftCell="A43" zoomScale="70" zoomScaleNormal="78" zoomScalePageLayoutView="70" workbookViewId="0">
      <selection activeCell="A43" sqref="A43:F70"/>
    </sheetView>
  </sheetViews>
  <sheetFormatPr defaultColWidth="9.140625" defaultRowHeight="12.75" x14ac:dyDescent="0.2"/>
  <cols>
    <col min="1" max="1" width="23.7109375" style="1" customWidth="1"/>
    <col min="2" max="3" width="12.7109375" style="3" customWidth="1"/>
    <col min="4" max="13" width="12.7109375" style="1" customWidth="1"/>
    <col min="14" max="14" width="9.140625" style="1"/>
    <col min="15" max="15" width="15.7109375" style="1" customWidth="1"/>
    <col min="16" max="16" width="10.7109375" style="1" customWidth="1"/>
    <col min="17" max="17" width="10" style="1" customWidth="1"/>
    <col min="18" max="16384" width="9.140625" style="1"/>
  </cols>
  <sheetData>
    <row r="2" spans="1:13" x14ac:dyDescent="0.2">
      <c r="A2" s="94"/>
      <c r="B2" s="94"/>
      <c r="C2" s="93"/>
      <c r="D2" s="95"/>
      <c r="E2" s="95"/>
      <c r="F2" s="95"/>
      <c r="G2" s="95"/>
      <c r="H2" s="95"/>
      <c r="I2" s="95"/>
      <c r="J2" s="95"/>
      <c r="K2" s="95"/>
      <c r="L2" s="86" t="s">
        <v>1</v>
      </c>
      <c r="M2" s="87"/>
    </row>
    <row r="4" spans="1:13" x14ac:dyDescent="0.2">
      <c r="B4" s="63"/>
      <c r="C4" s="158" t="s">
        <v>2</v>
      </c>
      <c r="D4" s="159" t="s">
        <v>115</v>
      </c>
      <c r="E4" s="160"/>
      <c r="F4" s="161"/>
      <c r="G4" s="162" t="s">
        <v>116</v>
      </c>
      <c r="H4" s="163"/>
      <c r="I4" s="164"/>
      <c r="J4" s="165" t="s">
        <v>117</v>
      </c>
      <c r="K4" s="166"/>
      <c r="L4" s="167"/>
      <c r="M4" s="168"/>
    </row>
    <row r="5" spans="1:13" x14ac:dyDescent="0.2">
      <c r="A5" s="5"/>
      <c r="B5" s="64" t="s">
        <v>58</v>
      </c>
      <c r="C5" s="113" t="s">
        <v>4</v>
      </c>
      <c r="D5" s="82">
        <v>2023</v>
      </c>
      <c r="E5" s="81">
        <f>D5+1</f>
        <v>2024</v>
      </c>
      <c r="F5" s="81">
        <f t="shared" ref="F5:K5" si="0">E5+1</f>
        <v>2025</v>
      </c>
      <c r="G5" s="81">
        <f t="shared" si="0"/>
        <v>2026</v>
      </c>
      <c r="H5" s="81">
        <f t="shared" si="0"/>
        <v>2027</v>
      </c>
      <c r="I5" s="81">
        <f t="shared" si="0"/>
        <v>2028</v>
      </c>
      <c r="J5" s="81">
        <f t="shared" si="0"/>
        <v>2029</v>
      </c>
      <c r="K5" s="81">
        <f t="shared" si="0"/>
        <v>2030</v>
      </c>
      <c r="L5" s="81">
        <f>K5+1</f>
        <v>2031</v>
      </c>
      <c r="M5" s="81">
        <f>L5+1</f>
        <v>2032</v>
      </c>
    </row>
    <row r="6" spans="1:13" x14ac:dyDescent="0.2">
      <c r="A6" s="220" t="s">
        <v>67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</row>
    <row r="7" spans="1:13" x14ac:dyDescent="0.2">
      <c r="A7" s="243" t="s">
        <v>59</v>
      </c>
      <c r="B7" s="29">
        <v>0.02</v>
      </c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244"/>
    </row>
    <row r="8" spans="1:13" x14ac:dyDescent="0.2">
      <c r="A8" s="243" t="s">
        <v>274</v>
      </c>
      <c r="B8" s="157">
        <f>E60</f>
        <v>165760.4</v>
      </c>
      <c r="C8" s="178"/>
      <c r="D8" s="171">
        <f>D25*$B$60</f>
        <v>9558.4</v>
      </c>
      <c r="E8" s="171">
        <f>E25*$B$60</f>
        <v>7646.72</v>
      </c>
      <c r="F8" s="171">
        <f>F25*$B$60</f>
        <v>1911.6799999999996</v>
      </c>
      <c r="G8" s="171">
        <f>G25*$C$60</f>
        <v>58657.440000000002</v>
      </c>
      <c r="H8" s="171">
        <f>H25*$C$60</f>
        <v>58657.440000000002</v>
      </c>
      <c r="I8" s="171">
        <f>I25*$C$60</f>
        <v>29328.719999999994</v>
      </c>
      <c r="J8" s="171">
        <f>J25*$D$60</f>
        <v>0</v>
      </c>
      <c r="K8" s="171">
        <f>K25*$D$60</f>
        <v>0</v>
      </c>
      <c r="L8" s="171">
        <f>L25*$D$60</f>
        <v>0</v>
      </c>
      <c r="M8" s="245">
        <f>M25*$D$60</f>
        <v>0</v>
      </c>
    </row>
    <row r="9" spans="1:13" x14ac:dyDescent="0.2">
      <c r="A9" s="243" t="s">
        <v>275</v>
      </c>
      <c r="B9" s="194">
        <f>E68+18.25</f>
        <v>115</v>
      </c>
      <c r="C9" s="219">
        <f>B9</f>
        <v>115</v>
      </c>
      <c r="D9" s="219">
        <f>C9*(1+$B$7)</f>
        <v>117.3</v>
      </c>
      <c r="E9" s="219">
        <f t="shared" ref="E9:M9" si="1">D9*(1+$B$7)</f>
        <v>119.646</v>
      </c>
      <c r="F9" s="219">
        <f t="shared" si="1"/>
        <v>122.03892</v>
      </c>
      <c r="G9" s="219">
        <f t="shared" si="1"/>
        <v>124.4796984</v>
      </c>
      <c r="H9" s="219">
        <f t="shared" si="1"/>
        <v>126.96929236800001</v>
      </c>
      <c r="I9" s="219">
        <f t="shared" si="1"/>
        <v>129.50867821536002</v>
      </c>
      <c r="J9" s="219">
        <f t="shared" si="1"/>
        <v>132.09885177966723</v>
      </c>
      <c r="K9" s="219">
        <f t="shared" si="1"/>
        <v>134.74082881526058</v>
      </c>
      <c r="L9" s="219">
        <f t="shared" si="1"/>
        <v>137.4356453915658</v>
      </c>
      <c r="M9" s="246">
        <f t="shared" si="1"/>
        <v>140.1843582993971</v>
      </c>
    </row>
    <row r="10" spans="1:13" x14ac:dyDescent="0.2">
      <c r="A10" s="243" t="s">
        <v>68</v>
      </c>
      <c r="B10" s="5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47"/>
    </row>
    <row r="11" spans="1:13" x14ac:dyDescent="0.2">
      <c r="A11" s="243" t="s">
        <v>69</v>
      </c>
      <c r="B11" s="157">
        <f>ROUNDUP(E64,0)</f>
        <v>722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48"/>
    </row>
    <row r="12" spans="1:13" x14ac:dyDescent="0.2">
      <c r="A12" s="243" t="s">
        <v>70</v>
      </c>
      <c r="B12" s="29">
        <f>E65</f>
        <v>0.86250000000000004</v>
      </c>
      <c r="C12" s="172">
        <f>$B$12*C8</f>
        <v>0</v>
      </c>
      <c r="D12" s="172">
        <f t="shared" ref="D12:M12" si="2">$B$12*D8</f>
        <v>8244.1200000000008</v>
      </c>
      <c r="E12" s="172">
        <f t="shared" si="2"/>
        <v>6595.2960000000003</v>
      </c>
      <c r="F12" s="172">
        <f t="shared" si="2"/>
        <v>1648.8239999999998</v>
      </c>
      <c r="G12" s="172">
        <f t="shared" si="2"/>
        <v>50592.042000000001</v>
      </c>
      <c r="H12" s="172">
        <f t="shared" si="2"/>
        <v>50592.042000000001</v>
      </c>
      <c r="I12" s="172">
        <f t="shared" si="2"/>
        <v>25296.020999999997</v>
      </c>
      <c r="J12" s="172">
        <f t="shared" si="2"/>
        <v>0</v>
      </c>
      <c r="K12" s="172">
        <f t="shared" si="2"/>
        <v>0</v>
      </c>
      <c r="L12" s="172">
        <f t="shared" si="2"/>
        <v>0</v>
      </c>
      <c r="M12" s="249">
        <f t="shared" si="2"/>
        <v>0</v>
      </c>
    </row>
    <row r="13" spans="1:13" x14ac:dyDescent="0.2">
      <c r="A13" s="243" t="s">
        <v>291</v>
      </c>
      <c r="B13" s="70"/>
      <c r="C13" s="171"/>
      <c r="D13" s="171">
        <f>D12</f>
        <v>8244.1200000000008</v>
      </c>
      <c r="E13" s="171">
        <f>D13+E12</f>
        <v>14839.416000000001</v>
      </c>
      <c r="F13" s="171">
        <f t="shared" ref="F13:M13" si="3">E13+F12</f>
        <v>16488.240000000002</v>
      </c>
      <c r="G13" s="171">
        <f t="shared" si="3"/>
        <v>67080.282000000007</v>
      </c>
      <c r="H13" s="171">
        <f t="shared" si="3"/>
        <v>117672.32400000001</v>
      </c>
      <c r="I13" s="171">
        <f t="shared" si="3"/>
        <v>142968.345</v>
      </c>
      <c r="J13" s="171">
        <f t="shared" si="3"/>
        <v>142968.345</v>
      </c>
      <c r="K13" s="171">
        <f t="shared" si="3"/>
        <v>142968.345</v>
      </c>
      <c r="L13" s="171">
        <f t="shared" si="3"/>
        <v>142968.345</v>
      </c>
      <c r="M13" s="245">
        <f t="shared" si="3"/>
        <v>142968.345</v>
      </c>
    </row>
    <row r="14" spans="1:13" x14ac:dyDescent="0.2">
      <c r="A14" s="243" t="s">
        <v>71</v>
      </c>
      <c r="B14" s="194">
        <f>E66</f>
        <v>1.5192529734321902</v>
      </c>
      <c r="C14" s="219">
        <f>B14</f>
        <v>1.5192529734321902</v>
      </c>
      <c r="D14" s="219">
        <f>C14*(1+$B$7)</f>
        <v>1.5496380329008341</v>
      </c>
      <c r="E14" s="219">
        <f t="shared" ref="E14:M14" si="4">D14*(1+$B$7)</f>
        <v>1.5806307935588508</v>
      </c>
      <c r="F14" s="219">
        <f t="shared" si="4"/>
        <v>1.612243409430028</v>
      </c>
      <c r="G14" s="219">
        <f t="shared" si="4"/>
        <v>1.6444882776186285</v>
      </c>
      <c r="H14" s="219">
        <f t="shared" si="4"/>
        <v>1.677378043171001</v>
      </c>
      <c r="I14" s="219">
        <f t="shared" si="4"/>
        <v>1.7109256040344212</v>
      </c>
      <c r="J14" s="219">
        <f t="shared" si="4"/>
        <v>1.7451441161151096</v>
      </c>
      <c r="K14" s="219">
        <f t="shared" si="4"/>
        <v>1.7800469984374119</v>
      </c>
      <c r="L14" s="219">
        <f t="shared" si="4"/>
        <v>1.8156479384061601</v>
      </c>
      <c r="M14" s="246">
        <f t="shared" si="4"/>
        <v>1.8519608971742834</v>
      </c>
    </row>
    <row r="15" spans="1:13" x14ac:dyDescent="0.2">
      <c r="A15" s="243" t="s">
        <v>74</v>
      </c>
      <c r="B15" s="194">
        <f>E70</f>
        <v>0.3</v>
      </c>
      <c r="C15" s="219">
        <f>B15</f>
        <v>0.3</v>
      </c>
      <c r="D15" s="219">
        <f>C15*(1+$B$7)</f>
        <v>0.30599999999999999</v>
      </c>
      <c r="E15" s="219">
        <f t="shared" ref="E15:M15" si="5">D15*(1+$B$7)</f>
        <v>0.31212000000000001</v>
      </c>
      <c r="F15" s="219">
        <f t="shared" si="5"/>
        <v>0.31836239999999999</v>
      </c>
      <c r="G15" s="219">
        <f t="shared" si="5"/>
        <v>0.32472964799999998</v>
      </c>
      <c r="H15" s="219">
        <f t="shared" si="5"/>
        <v>0.33122424095999997</v>
      </c>
      <c r="I15" s="219">
        <f t="shared" si="5"/>
        <v>0.3378487257792</v>
      </c>
      <c r="J15" s="219">
        <f t="shared" si="5"/>
        <v>0.34460570029478399</v>
      </c>
      <c r="K15" s="219">
        <f t="shared" si="5"/>
        <v>0.35149781430067967</v>
      </c>
      <c r="L15" s="219">
        <f t="shared" si="5"/>
        <v>0.35852777058669327</v>
      </c>
      <c r="M15" s="246">
        <f t="shared" si="5"/>
        <v>0.36569832599842717</v>
      </c>
    </row>
    <row r="16" spans="1:13" x14ac:dyDescent="0.2">
      <c r="A16" s="250" t="s">
        <v>72</v>
      </c>
      <c r="B16" s="72">
        <f>E69-5%</f>
        <v>0.79999999999999993</v>
      </c>
      <c r="C16" s="51"/>
      <c r="D16" s="42"/>
      <c r="E16" s="42"/>
      <c r="F16" s="42"/>
      <c r="G16" s="42"/>
      <c r="H16" s="42"/>
      <c r="I16" s="42"/>
      <c r="J16" s="42"/>
      <c r="K16" s="42"/>
      <c r="L16" s="42"/>
      <c r="M16" s="224"/>
    </row>
    <row r="17" spans="1:13" x14ac:dyDescent="0.2">
      <c r="A17" s="10" t="s">
        <v>5</v>
      </c>
      <c r="B17" s="5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">
      <c r="A18" s="91" t="s">
        <v>73</v>
      </c>
      <c r="B18" s="29"/>
      <c r="C18" s="26"/>
      <c r="D18" s="182">
        <f>D14*D13*12*$B$16</f>
        <v>122643.85823806489</v>
      </c>
      <c r="E18" s="182">
        <f t="shared" ref="E18:M18" si="6">E14*E13*12*$B$16</f>
        <v>225174.12372508709</v>
      </c>
      <c r="F18" s="182">
        <f t="shared" si="6"/>
        <v>255197.34022176542</v>
      </c>
      <c r="G18" s="182">
        <f t="shared" si="6"/>
        <v>1059002.279120178</v>
      </c>
      <c r="H18" s="182">
        <f t="shared" si="6"/>
        <v>1894857.3366384385</v>
      </c>
      <c r="I18" s="182">
        <f t="shared" si="6"/>
        <v>2348238.7394584944</v>
      </c>
      <c r="J18" s="182">
        <f t="shared" si="6"/>
        <v>2395203.5142476643</v>
      </c>
      <c r="K18" s="182">
        <f t="shared" si="6"/>
        <v>2443107.5845326176</v>
      </c>
      <c r="L18" s="182">
        <f t="shared" si="6"/>
        <v>2491969.7362232702</v>
      </c>
      <c r="M18" s="182">
        <f t="shared" si="6"/>
        <v>2541809.1309477352</v>
      </c>
    </row>
    <row r="19" spans="1:13" x14ac:dyDescent="0.2">
      <c r="A19" s="97" t="s">
        <v>289</v>
      </c>
      <c r="B19" s="29"/>
      <c r="C19" s="73"/>
      <c r="D19" s="182">
        <f>-1*D15*D13*12</f>
        <v>-30272.408640000001</v>
      </c>
      <c r="E19" s="182">
        <f t="shared" ref="E19:M19" si="7">-1*E15*E13*12</f>
        <v>-55580.142263040005</v>
      </c>
      <c r="F19" s="182">
        <f t="shared" si="7"/>
        <v>-62990.827898112009</v>
      </c>
      <c r="G19" s="182">
        <f t="shared" si="7"/>
        <v>-261395.47633920884</v>
      </c>
      <c r="H19" s="182">
        <f t="shared" si="7"/>
        <v>-467711.11438679032</v>
      </c>
      <c r="I19" s="182">
        <f t="shared" si="7"/>
        <v>-579620.07822013274</v>
      </c>
      <c r="J19" s="182">
        <f t="shared" si="7"/>
        <v>-591212.47978453536</v>
      </c>
      <c r="K19" s="182">
        <f t="shared" si="7"/>
        <v>-603036.729380226</v>
      </c>
      <c r="L19" s="182">
        <f t="shared" si="7"/>
        <v>-615097.46396783064</v>
      </c>
      <c r="M19" s="182">
        <f t="shared" si="7"/>
        <v>-627399.41324718727</v>
      </c>
    </row>
    <row r="20" spans="1:13" x14ac:dyDescent="0.2">
      <c r="A20" s="97" t="s">
        <v>312</v>
      </c>
      <c r="B20" s="77">
        <f>B46</f>
        <v>3.5000000000000003E-2</v>
      </c>
      <c r="C20" s="73"/>
      <c r="D20" s="182">
        <f>$B$20*-1*D18</f>
        <v>-4292.5350383322711</v>
      </c>
      <c r="E20" s="182">
        <f t="shared" ref="E20:M20" si="8">$B$20*-1*E18</f>
        <v>-7881.0943303780487</v>
      </c>
      <c r="F20" s="182">
        <f t="shared" si="8"/>
        <v>-8931.9069077617914</v>
      </c>
      <c r="G20" s="182">
        <f t="shared" si="8"/>
        <v>-37065.079769206233</v>
      </c>
      <c r="H20" s="182">
        <f t="shared" si="8"/>
        <v>-66320.006782345357</v>
      </c>
      <c r="I20" s="182">
        <f t="shared" si="8"/>
        <v>-82188.355881047304</v>
      </c>
      <c r="J20" s="182">
        <f t="shared" si="8"/>
        <v>-83832.122998668259</v>
      </c>
      <c r="K20" s="182">
        <f t="shared" si="8"/>
        <v>-85508.765458641617</v>
      </c>
      <c r="L20" s="182">
        <f t="shared" si="8"/>
        <v>-87218.940767814463</v>
      </c>
      <c r="M20" s="182">
        <f t="shared" si="8"/>
        <v>-88963.319583170742</v>
      </c>
    </row>
    <row r="21" spans="1:13" x14ac:dyDescent="0.2">
      <c r="A21" s="27" t="s">
        <v>249</v>
      </c>
      <c r="B21" s="77">
        <f>B47</f>
        <v>0.05</v>
      </c>
      <c r="C21" s="73"/>
      <c r="D21" s="182">
        <f>$B$21*-1*D18</f>
        <v>-6132.1929119032447</v>
      </c>
      <c r="E21" s="182">
        <f t="shared" ref="E21:M21" si="9">$B$21*-1*E18</f>
        <v>-11258.706186254356</v>
      </c>
      <c r="F21" s="182">
        <f t="shared" si="9"/>
        <v>-12759.867011088272</v>
      </c>
      <c r="G21" s="182">
        <f t="shared" si="9"/>
        <v>-52950.1139560089</v>
      </c>
      <c r="H21" s="182">
        <f t="shared" si="9"/>
        <v>-94742.866831921929</v>
      </c>
      <c r="I21" s="182">
        <f t="shared" si="9"/>
        <v>-117411.93697292473</v>
      </c>
      <c r="J21" s="182">
        <f t="shared" si="9"/>
        <v>-119760.17571238322</v>
      </c>
      <c r="K21" s="182">
        <f t="shared" si="9"/>
        <v>-122155.37922663089</v>
      </c>
      <c r="L21" s="182">
        <f t="shared" si="9"/>
        <v>-124598.48681116352</v>
      </c>
      <c r="M21" s="182">
        <f t="shared" si="9"/>
        <v>-127090.45654738677</v>
      </c>
    </row>
    <row r="22" spans="1:13" x14ac:dyDescent="0.2">
      <c r="A22" s="92" t="s">
        <v>21</v>
      </c>
      <c r="B22" s="31"/>
      <c r="C22" s="42"/>
      <c r="D22" s="182">
        <f>D20+D19+D18+D21</f>
        <v>81946.72164782937</v>
      </c>
      <c r="E22" s="182">
        <f t="shared" ref="E22:M22" si="10">E20+E19+E18+E21</f>
        <v>150454.18094541467</v>
      </c>
      <c r="F22" s="182">
        <f t="shared" si="10"/>
        <v>170514.73840480336</v>
      </c>
      <c r="G22" s="182">
        <f t="shared" si="10"/>
        <v>707591.60905575391</v>
      </c>
      <c r="H22" s="182">
        <f t="shared" si="10"/>
        <v>1266083.3486373809</v>
      </c>
      <c r="I22" s="182">
        <f t="shared" si="10"/>
        <v>1569018.3683843894</v>
      </c>
      <c r="J22" s="182">
        <f t="shared" si="10"/>
        <v>1600398.7357520775</v>
      </c>
      <c r="K22" s="182">
        <f t="shared" si="10"/>
        <v>1632406.7104671192</v>
      </c>
      <c r="L22" s="182">
        <f t="shared" si="10"/>
        <v>1665054.8446764615</v>
      </c>
      <c r="M22" s="182">
        <f t="shared" si="10"/>
        <v>1698355.9415699905</v>
      </c>
    </row>
    <row r="23" spans="1:13" x14ac:dyDescent="0.2">
      <c r="A23" s="55" t="s">
        <v>86</v>
      </c>
      <c r="B23" s="57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x14ac:dyDescent="0.2">
      <c r="A24" s="10" t="s">
        <v>15</v>
      </c>
      <c r="B24" s="5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x14ac:dyDescent="0.2">
      <c r="A25" s="91" t="s">
        <v>75</v>
      </c>
      <c r="B25" s="25"/>
      <c r="C25" s="26"/>
      <c r="D25" s="178">
        <v>0.5</v>
      </c>
      <c r="E25" s="178">
        <v>0.4</v>
      </c>
      <c r="F25" s="178">
        <f>1-(D25+E25)</f>
        <v>9.9999999999999978E-2</v>
      </c>
      <c r="G25" s="178">
        <v>0.4</v>
      </c>
      <c r="H25" s="178">
        <v>0.4</v>
      </c>
      <c r="I25" s="178">
        <f>1-(G25+H25)</f>
        <v>0.19999999999999996</v>
      </c>
      <c r="J25" s="178">
        <v>0.35</v>
      </c>
      <c r="K25" s="178">
        <v>0.45</v>
      </c>
      <c r="L25" s="178">
        <v>0.15</v>
      </c>
      <c r="M25" s="178">
        <v>0.05</v>
      </c>
    </row>
    <row r="26" spans="1:13" x14ac:dyDescent="0.2">
      <c r="A26" s="97" t="s">
        <v>290</v>
      </c>
      <c r="B26" s="25"/>
      <c r="C26" s="26"/>
      <c r="D26" s="178">
        <f>D25</f>
        <v>0.5</v>
      </c>
      <c r="E26" s="178">
        <f>D26+E25</f>
        <v>0.9</v>
      </c>
      <c r="F26" s="178">
        <f>E26+F25</f>
        <v>1</v>
      </c>
      <c r="G26" s="178">
        <f>G25</f>
        <v>0.4</v>
      </c>
      <c r="H26" s="178">
        <f>G26+H25</f>
        <v>0.8</v>
      </c>
      <c r="I26" s="178">
        <f>H26+I25</f>
        <v>1</v>
      </c>
      <c r="J26" s="178">
        <f>J25</f>
        <v>0.35</v>
      </c>
      <c r="K26" s="178">
        <f>J26+K25</f>
        <v>0.8</v>
      </c>
      <c r="L26" s="178">
        <f>K26+L25</f>
        <v>0.95000000000000007</v>
      </c>
      <c r="M26" s="178">
        <f>L26+M25</f>
        <v>1</v>
      </c>
    </row>
    <row r="27" spans="1:13" x14ac:dyDescent="0.2">
      <c r="A27" s="91" t="s">
        <v>15</v>
      </c>
      <c r="B27" s="25"/>
      <c r="C27" s="26"/>
      <c r="D27" s="182">
        <f t="shared" ref="D27:M27" si="11">-1*D25*D8*D9</f>
        <v>-560600.15999999992</v>
      </c>
      <c r="E27" s="182">
        <f t="shared" si="11"/>
        <v>-365959.78444800002</v>
      </c>
      <c r="F27" s="182">
        <f t="shared" si="11"/>
        <v>-23329.936258559992</v>
      </c>
      <c r="G27" s="182">
        <f t="shared" si="11"/>
        <v>-2920664.176046439</v>
      </c>
      <c r="H27" s="182">
        <f t="shared" si="11"/>
        <v>-2979077.4595673676</v>
      </c>
      <c r="I27" s="182">
        <f t="shared" si="11"/>
        <v>-759664.75218967849</v>
      </c>
      <c r="J27" s="182">
        <f t="shared" si="11"/>
        <v>0</v>
      </c>
      <c r="K27" s="182">
        <f t="shared" si="11"/>
        <v>0</v>
      </c>
      <c r="L27" s="182">
        <f t="shared" si="11"/>
        <v>0</v>
      </c>
      <c r="M27" s="182">
        <f t="shared" si="11"/>
        <v>0</v>
      </c>
    </row>
    <row r="28" spans="1:13" x14ac:dyDescent="0.2">
      <c r="A28" s="97" t="s">
        <v>118</v>
      </c>
      <c r="B28" s="29">
        <v>0.2</v>
      </c>
      <c r="C28" s="26"/>
      <c r="D28" s="182">
        <f>$B$28*D27</f>
        <v>-112120.03199999999</v>
      </c>
      <c r="E28" s="182">
        <f t="shared" ref="E28:M28" si="12">$B$28*E27</f>
        <v>-73191.956889600013</v>
      </c>
      <c r="F28" s="182">
        <f t="shared" si="12"/>
        <v>-4665.9872517119984</v>
      </c>
      <c r="G28" s="182">
        <f t="shared" si="12"/>
        <v>-584132.83520928782</v>
      </c>
      <c r="H28" s="182">
        <f t="shared" si="12"/>
        <v>-595815.49191347358</v>
      </c>
      <c r="I28" s="182">
        <f t="shared" si="12"/>
        <v>-151932.95043793571</v>
      </c>
      <c r="J28" s="182">
        <f t="shared" si="12"/>
        <v>0</v>
      </c>
      <c r="K28" s="182">
        <f t="shared" si="12"/>
        <v>0</v>
      </c>
      <c r="L28" s="182">
        <f t="shared" si="12"/>
        <v>0</v>
      </c>
      <c r="M28" s="182">
        <f t="shared" si="12"/>
        <v>0</v>
      </c>
    </row>
    <row r="29" spans="1:13" x14ac:dyDescent="0.2">
      <c r="A29" s="91" t="s">
        <v>52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92" t="s">
        <v>19</v>
      </c>
      <c r="B30" s="31"/>
      <c r="C30" s="42"/>
      <c r="D30" s="37">
        <f>D28+D27</f>
        <v>-672720.19199999992</v>
      </c>
      <c r="E30" s="37">
        <f t="shared" ref="E30:M30" si="13">E28+E27</f>
        <v>-439151.74133760005</v>
      </c>
      <c r="F30" s="37">
        <f t="shared" si="13"/>
        <v>-27995.92351027199</v>
      </c>
      <c r="G30" s="37">
        <f t="shared" si="13"/>
        <v>-3504797.0112557267</v>
      </c>
      <c r="H30" s="37">
        <f t="shared" si="13"/>
        <v>-3574892.9514808413</v>
      </c>
      <c r="I30" s="37">
        <f t="shared" si="13"/>
        <v>-911597.70262761414</v>
      </c>
      <c r="J30" s="37">
        <f t="shared" si="13"/>
        <v>0</v>
      </c>
      <c r="K30" s="37">
        <f t="shared" si="13"/>
        <v>0</v>
      </c>
      <c r="L30" s="37">
        <f t="shared" si="13"/>
        <v>0</v>
      </c>
      <c r="M30" s="37">
        <f t="shared" si="13"/>
        <v>0</v>
      </c>
    </row>
    <row r="31" spans="1:13" x14ac:dyDescent="0.2">
      <c r="A31" s="10" t="s">
        <v>20</v>
      </c>
      <c r="B31" s="56"/>
      <c r="C31" s="56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x14ac:dyDescent="0.2">
      <c r="A32" s="97" t="s">
        <v>242</v>
      </c>
      <c r="B32" s="70">
        <f>E67+1%</f>
        <v>6.9999999999999993E-2</v>
      </c>
      <c r="C32" s="56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x14ac:dyDescent="0.2">
      <c r="A33" s="91" t="s">
        <v>21</v>
      </c>
      <c r="B33" s="25"/>
      <c r="C33" s="25"/>
      <c r="D33" s="38">
        <f>D22</f>
        <v>81946.72164782937</v>
      </c>
      <c r="E33" s="38">
        <f t="shared" ref="E33:M33" si="14">E22</f>
        <v>150454.18094541467</v>
      </c>
      <c r="F33" s="38">
        <f t="shared" si="14"/>
        <v>170514.73840480336</v>
      </c>
      <c r="G33" s="38">
        <f t="shared" si="14"/>
        <v>707591.60905575391</v>
      </c>
      <c r="H33" s="38">
        <f t="shared" si="14"/>
        <v>1266083.3486373809</v>
      </c>
      <c r="I33" s="38">
        <f t="shared" si="14"/>
        <v>1569018.3683843894</v>
      </c>
      <c r="J33" s="38">
        <f t="shared" si="14"/>
        <v>1600398.7357520775</v>
      </c>
      <c r="K33" s="38">
        <f t="shared" si="14"/>
        <v>1632406.7104671192</v>
      </c>
      <c r="L33" s="38">
        <f t="shared" si="14"/>
        <v>1665054.8446764615</v>
      </c>
      <c r="M33" s="38">
        <f t="shared" si="14"/>
        <v>1698355.9415699905</v>
      </c>
    </row>
    <row r="34" spans="1:13" x14ac:dyDescent="0.2">
      <c r="A34" s="27" t="s">
        <v>76</v>
      </c>
      <c r="B34" s="30"/>
      <c r="C34" s="30"/>
      <c r="D34" s="73"/>
      <c r="E34" s="73"/>
      <c r="F34" s="73"/>
      <c r="G34" s="73"/>
      <c r="H34" s="73"/>
      <c r="I34" s="73"/>
      <c r="J34" s="73"/>
      <c r="K34" s="73"/>
      <c r="L34" s="73"/>
      <c r="M34" s="175">
        <f>M33/B32</f>
        <v>24262227.736714151</v>
      </c>
    </row>
    <row r="35" spans="1:13" x14ac:dyDescent="0.2">
      <c r="A35" s="27" t="s">
        <v>77</v>
      </c>
      <c r="B35" s="30">
        <f>B50</f>
        <v>0.03</v>
      </c>
      <c r="C35" s="30"/>
      <c r="D35" s="73"/>
      <c r="E35" s="73"/>
      <c r="F35" s="73"/>
      <c r="G35" s="73"/>
      <c r="H35" s="73"/>
      <c r="I35" s="73"/>
      <c r="J35" s="73"/>
      <c r="K35" s="73"/>
      <c r="L35" s="73"/>
      <c r="M35" s="177">
        <f>-1*B35*M34</f>
        <v>-727866.83210142446</v>
      </c>
    </row>
    <row r="36" spans="1:13" x14ac:dyDescent="0.2">
      <c r="A36" s="27" t="s">
        <v>253</v>
      </c>
      <c r="B36" s="30">
        <f>B52</f>
        <v>0.03</v>
      </c>
      <c r="C36" s="30"/>
      <c r="D36" s="175">
        <f>D33*-1*$B$36</f>
        <v>-2458.4016494348812</v>
      </c>
      <c r="E36" s="175">
        <f t="shared" ref="E36:M36" si="15">E33*-1*$B$36</f>
        <v>-4513.6254283624403</v>
      </c>
      <c r="F36" s="175">
        <f t="shared" si="15"/>
        <v>-5115.4421521441009</v>
      </c>
      <c r="G36" s="175">
        <f t="shared" si="15"/>
        <v>-21227.748271672615</v>
      </c>
      <c r="H36" s="175">
        <f t="shared" si="15"/>
        <v>-37982.500459121424</v>
      </c>
      <c r="I36" s="175">
        <f t="shared" si="15"/>
        <v>-47070.551051531678</v>
      </c>
      <c r="J36" s="175">
        <f t="shared" si="15"/>
        <v>-48011.962072562324</v>
      </c>
      <c r="K36" s="175">
        <f t="shared" si="15"/>
        <v>-48972.201314013575</v>
      </c>
      <c r="L36" s="175">
        <f t="shared" si="15"/>
        <v>-49951.645340293842</v>
      </c>
      <c r="M36" s="175">
        <f t="shared" si="15"/>
        <v>-50950.678247099713</v>
      </c>
    </row>
    <row r="37" spans="1:13" x14ac:dyDescent="0.2">
      <c r="A37" s="17" t="s">
        <v>19</v>
      </c>
      <c r="B37" s="31"/>
      <c r="C37" s="31"/>
      <c r="D37" s="37">
        <f>D30</f>
        <v>-672720.19199999992</v>
      </c>
      <c r="E37" s="37">
        <f t="shared" ref="E37:M37" si="16">E30</f>
        <v>-439151.74133760005</v>
      </c>
      <c r="F37" s="37">
        <f t="shared" si="16"/>
        <v>-27995.92351027199</v>
      </c>
      <c r="G37" s="37">
        <f t="shared" si="16"/>
        <v>-3504797.0112557267</v>
      </c>
      <c r="H37" s="37">
        <f t="shared" si="16"/>
        <v>-3574892.9514808413</v>
      </c>
      <c r="I37" s="37">
        <f t="shared" si="16"/>
        <v>-911597.70262761414</v>
      </c>
      <c r="J37" s="37">
        <f t="shared" si="16"/>
        <v>0</v>
      </c>
      <c r="K37" s="37">
        <f t="shared" si="16"/>
        <v>0</v>
      </c>
      <c r="L37" s="37">
        <f t="shared" si="16"/>
        <v>0</v>
      </c>
      <c r="M37" s="37">
        <f t="shared" si="16"/>
        <v>0</v>
      </c>
    </row>
    <row r="38" spans="1:13" x14ac:dyDescent="0.2">
      <c r="A38" s="220" t="s">
        <v>24</v>
      </c>
      <c r="B38" s="221">
        <f>NPV(R28,D38:M38)</f>
        <v>24628775.825955659</v>
      </c>
      <c r="C38" s="46"/>
      <c r="D38" s="183">
        <f t="shared" ref="D38:M38" si="17">SUM(D33:D37)</f>
        <v>-593231.87200160546</v>
      </c>
      <c r="E38" s="183">
        <f t="shared" si="17"/>
        <v>-293211.18582054781</v>
      </c>
      <c r="F38" s="183">
        <f t="shared" si="17"/>
        <v>137403.37274238726</v>
      </c>
      <c r="G38" s="183">
        <f t="shared" si="17"/>
        <v>-2818433.1504716454</v>
      </c>
      <c r="H38" s="183">
        <f t="shared" si="17"/>
        <v>-2346792.1033025817</v>
      </c>
      <c r="I38" s="183">
        <f t="shared" si="17"/>
        <v>610350.11470524361</v>
      </c>
      <c r="J38" s="183">
        <f t="shared" si="17"/>
        <v>1552386.7736795151</v>
      </c>
      <c r="K38" s="183">
        <f t="shared" si="17"/>
        <v>1583434.5091531056</v>
      </c>
      <c r="L38" s="183">
        <f t="shared" si="17"/>
        <v>1615103.1993361677</v>
      </c>
      <c r="M38" s="222">
        <f t="shared" si="17"/>
        <v>25181766.167935621</v>
      </c>
    </row>
    <row r="39" spans="1:13" x14ac:dyDescent="0.2">
      <c r="A39" s="223" t="s">
        <v>27</v>
      </c>
      <c r="B39" s="69">
        <f>IRR(D38:M38,0)</f>
        <v>0.33484481421855805</v>
      </c>
      <c r="C39" s="69"/>
      <c r="D39" s="42"/>
      <c r="E39" s="42"/>
      <c r="F39" s="42"/>
      <c r="G39" s="42"/>
      <c r="H39" s="42"/>
      <c r="I39" s="42"/>
      <c r="J39" s="42"/>
      <c r="K39" s="42"/>
      <c r="L39" s="42"/>
      <c r="M39" s="224"/>
    </row>
    <row r="40" spans="1:13" x14ac:dyDescent="0.2">
      <c r="A40" s="7" t="s">
        <v>29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x14ac:dyDescent="0.2">
      <c r="A41" s="19" t="s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3" spans="1:13" x14ac:dyDescent="0.2">
      <c r="A43" s="210" t="s">
        <v>245</v>
      </c>
      <c r="B43" s="214"/>
      <c r="C43" s="1"/>
    </row>
    <row r="44" spans="1:13" x14ac:dyDescent="0.2">
      <c r="A44" s="139" t="s">
        <v>246</v>
      </c>
      <c r="B44" s="145">
        <v>0.02</v>
      </c>
      <c r="C44" s="1"/>
    </row>
    <row r="45" spans="1:13" x14ac:dyDescent="0.2">
      <c r="A45" s="139" t="s">
        <v>247</v>
      </c>
      <c r="B45" s="145">
        <v>0.1</v>
      </c>
      <c r="C45" s="1"/>
    </row>
    <row r="46" spans="1:13" x14ac:dyDescent="0.2">
      <c r="A46" s="139" t="s">
        <v>248</v>
      </c>
      <c r="B46" s="215">
        <v>3.5000000000000003E-2</v>
      </c>
      <c r="C46" s="1"/>
    </row>
    <row r="47" spans="1:13" x14ac:dyDescent="0.2">
      <c r="A47" s="139" t="s">
        <v>249</v>
      </c>
      <c r="B47" s="145">
        <v>0.05</v>
      </c>
      <c r="C47" s="1"/>
    </row>
    <row r="48" spans="1:13" x14ac:dyDescent="0.2">
      <c r="A48" s="139" t="s">
        <v>250</v>
      </c>
      <c r="B48" s="145">
        <v>0.6</v>
      </c>
      <c r="C48" s="1"/>
    </row>
    <row r="49" spans="1:6" x14ac:dyDescent="0.2">
      <c r="A49" s="139" t="s">
        <v>251</v>
      </c>
      <c r="B49" s="141">
        <v>1.7528999999999999</v>
      </c>
      <c r="C49" s="1" t="s">
        <v>255</v>
      </c>
    </row>
    <row r="50" spans="1:6" x14ac:dyDescent="0.2">
      <c r="A50" s="139" t="s">
        <v>85</v>
      </c>
      <c r="B50" s="155">
        <v>0.03</v>
      </c>
      <c r="C50" s="1"/>
    </row>
    <row r="51" spans="1:6" x14ac:dyDescent="0.2">
      <c r="A51" s="139" t="s">
        <v>252</v>
      </c>
      <c r="B51" s="155">
        <v>0.03</v>
      </c>
      <c r="C51" s="1"/>
    </row>
    <row r="52" spans="1:6" x14ac:dyDescent="0.2">
      <c r="A52" s="139" t="s">
        <v>253</v>
      </c>
      <c r="B52" s="155">
        <v>0.03</v>
      </c>
      <c r="C52" s="1"/>
    </row>
    <row r="53" spans="1:6" x14ac:dyDescent="0.2">
      <c r="A53" s="146" t="s">
        <v>254</v>
      </c>
      <c r="B53" s="216">
        <v>0.01</v>
      </c>
      <c r="C53" s="1"/>
    </row>
    <row r="54" spans="1:6" x14ac:dyDescent="0.2">
      <c r="A54" s="8"/>
      <c r="B54" s="625"/>
      <c r="C54" s="1"/>
    </row>
    <row r="55" spans="1:6" x14ac:dyDescent="0.2">
      <c r="A55" s="8"/>
      <c r="B55" s="625"/>
      <c r="C55" s="1"/>
    </row>
    <row r="56" spans="1:6" x14ac:dyDescent="0.2">
      <c r="B56" s="1"/>
      <c r="C56" s="1"/>
    </row>
    <row r="57" spans="1:6" x14ac:dyDescent="0.2">
      <c r="A57" s="136" t="s">
        <v>256</v>
      </c>
      <c r="B57" s="137"/>
      <c r="C57" s="137"/>
      <c r="D57" s="138"/>
      <c r="E57" s="149"/>
      <c r="F57" s="150"/>
    </row>
    <row r="58" spans="1:6" x14ac:dyDescent="0.2">
      <c r="A58" s="139" t="s">
        <v>257</v>
      </c>
      <c r="B58" s="102" t="s">
        <v>226</v>
      </c>
      <c r="C58" s="105" t="s">
        <v>187</v>
      </c>
      <c r="D58" s="140" t="s">
        <v>117</v>
      </c>
      <c r="E58" s="139"/>
      <c r="F58" s="141"/>
    </row>
    <row r="59" spans="1:6" x14ac:dyDescent="0.2">
      <c r="A59" s="146" t="s">
        <v>261</v>
      </c>
      <c r="B59" s="5" t="s">
        <v>262</v>
      </c>
      <c r="C59" s="5" t="s">
        <v>263</v>
      </c>
      <c r="D59" s="154" t="s">
        <v>264</v>
      </c>
      <c r="E59" s="146"/>
      <c r="F59" s="154"/>
    </row>
    <row r="60" spans="1:6" x14ac:dyDescent="0.2">
      <c r="A60" s="149" t="s">
        <v>265</v>
      </c>
      <c r="B60" s="184">
        <f>'Building Summary'!D318</f>
        <v>19116.8</v>
      </c>
      <c r="C60" s="184">
        <f>'Building Summary'!D243+'Building Summary'!D168</f>
        <v>146643.6</v>
      </c>
      <c r="D60" s="184"/>
      <c r="E60" s="184">
        <f>SUM(B60:D60)</f>
        <v>165760.4</v>
      </c>
      <c r="F60" s="150" t="s">
        <v>40</v>
      </c>
    </row>
    <row r="61" spans="1:6" x14ac:dyDescent="0.2">
      <c r="A61" s="139" t="s">
        <v>266</v>
      </c>
      <c r="B61" s="142">
        <f>'Building Summary'!F329</f>
        <v>8</v>
      </c>
      <c r="C61" s="142">
        <f>'Building Summary'!F178+'Building Summary'!F253</f>
        <v>76</v>
      </c>
      <c r="D61" s="142"/>
      <c r="E61" s="142">
        <f>SUM(B61:D61)</f>
        <v>84</v>
      </c>
      <c r="F61" s="141" t="s">
        <v>40</v>
      </c>
    </row>
    <row r="62" spans="1:6" x14ac:dyDescent="0.2">
      <c r="A62" s="139" t="s">
        <v>267</v>
      </c>
      <c r="B62" s="142">
        <f>'Building Summary'!G329</f>
        <v>15</v>
      </c>
      <c r="C62" s="142">
        <f>'Building Summary'!G253+'Building Summary'!G178</f>
        <v>103</v>
      </c>
      <c r="D62" s="142"/>
      <c r="E62" s="142">
        <f>SUM(B62:D62)</f>
        <v>118</v>
      </c>
      <c r="F62" s="141" t="s">
        <v>40</v>
      </c>
    </row>
    <row r="63" spans="1:6" x14ac:dyDescent="0.2">
      <c r="A63" s="139" t="s">
        <v>40</v>
      </c>
      <c r="B63" s="142">
        <f>SUM(B61:B62)</f>
        <v>23</v>
      </c>
      <c r="C63" s="142">
        <f t="shared" ref="C63:E63" si="18">SUM(C61:C62)</f>
        <v>179</v>
      </c>
      <c r="D63" s="142"/>
      <c r="E63" s="142">
        <f t="shared" si="18"/>
        <v>202</v>
      </c>
      <c r="F63" s="141" t="s">
        <v>40</v>
      </c>
    </row>
    <row r="64" spans="1:6" x14ac:dyDescent="0.2">
      <c r="A64" s="139" t="s">
        <v>268</v>
      </c>
      <c r="B64" s="142">
        <v>725</v>
      </c>
      <c r="C64" s="142">
        <v>717.75</v>
      </c>
      <c r="D64" s="142"/>
      <c r="E64" s="142">
        <v>721.375</v>
      </c>
      <c r="F64" s="141" t="s">
        <v>269</v>
      </c>
    </row>
    <row r="65" spans="1:6" x14ac:dyDescent="0.2">
      <c r="A65" s="139" t="s">
        <v>270</v>
      </c>
      <c r="B65" s="144">
        <v>0.85</v>
      </c>
      <c r="C65" s="144">
        <v>0.875</v>
      </c>
      <c r="D65" s="144"/>
      <c r="E65" s="144">
        <v>0.86250000000000004</v>
      </c>
      <c r="F65" s="141" t="s">
        <v>269</v>
      </c>
    </row>
    <row r="66" spans="1:6" x14ac:dyDescent="0.2">
      <c r="A66" s="139" t="s">
        <v>271</v>
      </c>
      <c r="B66" s="142">
        <v>1.460576923076923</v>
      </c>
      <c r="C66" s="142">
        <v>1.5779290237874575</v>
      </c>
      <c r="D66" s="142"/>
      <c r="E66" s="142">
        <v>1.5192529734321902</v>
      </c>
      <c r="F66" s="141" t="s">
        <v>269</v>
      </c>
    </row>
    <row r="67" spans="1:6" x14ac:dyDescent="0.2">
      <c r="A67" s="139" t="s">
        <v>242</v>
      </c>
      <c r="B67" s="144">
        <v>0.06</v>
      </c>
      <c r="C67" s="144">
        <v>0.06</v>
      </c>
      <c r="D67" s="144"/>
      <c r="E67" s="144">
        <v>0.06</v>
      </c>
      <c r="F67" s="141" t="s">
        <v>269</v>
      </c>
    </row>
    <row r="68" spans="1:6" x14ac:dyDescent="0.2">
      <c r="A68" s="139" t="s">
        <v>272</v>
      </c>
      <c r="B68" s="142">
        <v>105</v>
      </c>
      <c r="C68" s="142">
        <v>88.5</v>
      </c>
      <c r="D68" s="142"/>
      <c r="E68" s="142">
        <v>96.75</v>
      </c>
      <c r="F68" s="141" t="s">
        <v>269</v>
      </c>
    </row>
    <row r="69" spans="1:6" x14ac:dyDescent="0.2">
      <c r="A69" s="139" t="s">
        <v>72</v>
      </c>
      <c r="B69" s="144">
        <v>0.85</v>
      </c>
      <c r="C69" s="144">
        <v>0.85</v>
      </c>
      <c r="D69" s="144"/>
      <c r="E69" s="144">
        <v>0.85</v>
      </c>
      <c r="F69" s="141" t="s">
        <v>269</v>
      </c>
    </row>
    <row r="70" spans="1:6" x14ac:dyDescent="0.2">
      <c r="A70" s="146" t="s">
        <v>273</v>
      </c>
      <c r="B70" s="213">
        <v>0.3</v>
      </c>
      <c r="C70" s="213">
        <v>0.3</v>
      </c>
      <c r="D70" s="213"/>
      <c r="E70" s="213">
        <v>0.3</v>
      </c>
      <c r="F70" s="154" t="s">
        <v>269</v>
      </c>
    </row>
  </sheetData>
  <phoneticPr fontId="3" type="noConversion"/>
  <pageMargins left="0.5" right="0.5" top="1" bottom="0.5" header="0.5" footer="0.5"/>
  <pageSetup paperSize="3" scale="115" fitToHeight="0" orientation="landscape" r:id="rId1"/>
  <headerFooter alignWithMargins="0">
    <oddHeader>&amp;L&amp;"Arial,Bold"4. Income Statement: Affordable Rental Housing&amp;CTEAM :2021-1920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45"/>
  <sheetViews>
    <sheetView view="pageLayout" topLeftCell="A90" zoomScale="60" zoomScaleNormal="80" zoomScalePageLayoutView="60" workbookViewId="0">
      <selection activeCell="A99" sqref="A99:F143"/>
    </sheetView>
  </sheetViews>
  <sheetFormatPr defaultColWidth="9.140625" defaultRowHeight="12.75" x14ac:dyDescent="0.2"/>
  <cols>
    <col min="1" max="1" width="31.7109375" style="1" customWidth="1"/>
    <col min="2" max="3" width="12.7109375" style="3" customWidth="1"/>
    <col min="4" max="11" width="12.7109375" style="1" customWidth="1"/>
    <col min="12" max="12" width="12.28515625" style="1" bestFit="1" customWidth="1"/>
    <col min="13" max="13" width="15.42578125" style="1" bestFit="1" customWidth="1"/>
    <col min="14" max="14" width="9.140625" style="1"/>
    <col min="15" max="15" width="16.7109375" style="1" bestFit="1" customWidth="1"/>
    <col min="16" max="20" width="10.7109375" style="1" customWidth="1"/>
    <col min="21" max="16384" width="9.140625" style="1"/>
  </cols>
  <sheetData>
    <row r="2" spans="1:13" x14ac:dyDescent="0.2">
      <c r="A2" s="119"/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86" t="s">
        <v>1</v>
      </c>
      <c r="M2" s="87"/>
    </row>
    <row r="4" spans="1:13" x14ac:dyDescent="0.2">
      <c r="A4" s="232" t="s">
        <v>307</v>
      </c>
      <c r="B4" s="63"/>
      <c r="C4" s="158" t="s">
        <v>2</v>
      </c>
      <c r="D4" s="159" t="s">
        <v>115</v>
      </c>
      <c r="E4" s="160"/>
      <c r="F4" s="161"/>
      <c r="G4" s="162" t="s">
        <v>116</v>
      </c>
      <c r="H4" s="163"/>
      <c r="I4" s="164"/>
      <c r="J4" s="165" t="s">
        <v>117</v>
      </c>
      <c r="K4" s="166"/>
      <c r="L4" s="167"/>
      <c r="M4" s="168"/>
    </row>
    <row r="5" spans="1:13" x14ac:dyDescent="0.2">
      <c r="A5" s="5"/>
      <c r="B5" s="64" t="s">
        <v>58</v>
      </c>
      <c r="C5" s="81" t="s">
        <v>4</v>
      </c>
      <c r="D5" s="64">
        <v>2023</v>
      </c>
      <c r="E5" s="64">
        <f t="shared" ref="E5:M5" si="0">D5+1</f>
        <v>2024</v>
      </c>
      <c r="F5" s="64">
        <f t="shared" si="0"/>
        <v>2025</v>
      </c>
      <c r="G5" s="64">
        <f t="shared" si="0"/>
        <v>2026</v>
      </c>
      <c r="H5" s="64">
        <f t="shared" si="0"/>
        <v>2027</v>
      </c>
      <c r="I5" s="64">
        <f t="shared" si="0"/>
        <v>2028</v>
      </c>
      <c r="J5" s="64">
        <f t="shared" si="0"/>
        <v>2029</v>
      </c>
      <c r="K5" s="64">
        <f t="shared" si="0"/>
        <v>2030</v>
      </c>
      <c r="L5" s="64">
        <f t="shared" si="0"/>
        <v>2031</v>
      </c>
      <c r="M5" s="64">
        <f t="shared" si="0"/>
        <v>2032</v>
      </c>
    </row>
    <row r="6" spans="1:13" x14ac:dyDescent="0.2">
      <c r="A6" s="10" t="s">
        <v>78</v>
      </c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x14ac:dyDescent="0.2">
      <c r="A7" s="742" t="s">
        <v>59</v>
      </c>
      <c r="B7" s="29">
        <v>0.02</v>
      </c>
      <c r="C7" s="29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">
      <c r="A8" s="742" t="s">
        <v>274</v>
      </c>
      <c r="B8" s="233">
        <f>E121</f>
        <v>52770.340000000004</v>
      </c>
      <c r="C8" s="234">
        <f t="shared" ref="C8:M8" si="1">$B$121*C27</f>
        <v>0</v>
      </c>
      <c r="D8" s="234">
        <f t="shared" si="1"/>
        <v>5676.6450000000004</v>
      </c>
      <c r="E8" s="234">
        <f t="shared" si="1"/>
        <v>7568.8600000000006</v>
      </c>
      <c r="F8" s="234">
        <f t="shared" si="1"/>
        <v>5676.6450000000013</v>
      </c>
      <c r="G8" s="234">
        <f t="shared" si="1"/>
        <v>7568.8600000000006</v>
      </c>
      <c r="H8" s="234">
        <f t="shared" si="1"/>
        <v>7568.8600000000006</v>
      </c>
      <c r="I8" s="234">
        <f t="shared" si="1"/>
        <v>3784.4299999999994</v>
      </c>
      <c r="J8" s="234">
        <f t="shared" si="1"/>
        <v>7568.8600000000006</v>
      </c>
      <c r="K8" s="234">
        <f t="shared" si="1"/>
        <v>5676.6450000000004</v>
      </c>
      <c r="L8" s="234">
        <f t="shared" si="1"/>
        <v>3784.4300000000003</v>
      </c>
      <c r="M8" s="234">
        <f t="shared" si="1"/>
        <v>1892.2150000000001</v>
      </c>
    </row>
    <row r="9" spans="1:13" x14ac:dyDescent="0.2">
      <c r="A9" s="742" t="s">
        <v>275</v>
      </c>
      <c r="B9" s="194">
        <f>E128-10</f>
        <v>70</v>
      </c>
      <c r="C9" s="219">
        <f>B9</f>
        <v>70</v>
      </c>
      <c r="D9" s="219">
        <f>C9*(1+$B$7)</f>
        <v>71.400000000000006</v>
      </c>
      <c r="E9" s="219">
        <f t="shared" ref="E9:M10" si="2">D9*(1+$B$7)</f>
        <v>72.828000000000003</v>
      </c>
      <c r="F9" s="219">
        <f t="shared" si="2"/>
        <v>74.284559999999999</v>
      </c>
      <c r="G9" s="219">
        <f t="shared" si="2"/>
        <v>75.770251200000004</v>
      </c>
      <c r="H9" s="219">
        <f t="shared" si="2"/>
        <v>77.285656224000007</v>
      </c>
      <c r="I9" s="219">
        <f t="shared" si="2"/>
        <v>78.83136934848001</v>
      </c>
      <c r="J9" s="219">
        <f t="shared" si="2"/>
        <v>80.407996735449615</v>
      </c>
      <c r="K9" s="219">
        <f t="shared" si="2"/>
        <v>82.016156670158608</v>
      </c>
      <c r="L9" s="219">
        <f t="shared" si="2"/>
        <v>83.65647980356178</v>
      </c>
      <c r="M9" s="219">
        <f t="shared" si="2"/>
        <v>85.329609399633014</v>
      </c>
    </row>
    <row r="10" spans="1:13" x14ac:dyDescent="0.2">
      <c r="A10" s="742" t="s">
        <v>308</v>
      </c>
      <c r="B10" s="194">
        <f>E122+14</f>
        <v>30.5</v>
      </c>
      <c r="C10" s="219">
        <f>B10</f>
        <v>30.5</v>
      </c>
      <c r="D10" s="219">
        <f>C10*(1+$B$7)</f>
        <v>31.11</v>
      </c>
      <c r="E10" s="219">
        <f t="shared" si="2"/>
        <v>31.732199999999999</v>
      </c>
      <c r="F10" s="219">
        <f t="shared" si="2"/>
        <v>32.366844</v>
      </c>
      <c r="G10" s="219">
        <f t="shared" si="2"/>
        <v>33.014180879999998</v>
      </c>
      <c r="H10" s="219">
        <f t="shared" si="2"/>
        <v>33.674464497599999</v>
      </c>
      <c r="I10" s="219">
        <f t="shared" si="2"/>
        <v>34.347953787552001</v>
      </c>
      <c r="J10" s="219">
        <f t="shared" si="2"/>
        <v>35.034912863303042</v>
      </c>
      <c r="K10" s="219">
        <f t="shared" si="2"/>
        <v>35.735611120569104</v>
      </c>
      <c r="L10" s="219">
        <f t="shared" si="2"/>
        <v>36.450323342980489</v>
      </c>
      <c r="M10" s="219">
        <f t="shared" si="2"/>
        <v>37.179329809840098</v>
      </c>
    </row>
    <row r="11" spans="1:13" x14ac:dyDescent="0.2">
      <c r="A11" s="742" t="s">
        <v>309</v>
      </c>
      <c r="B11" s="194">
        <f>B110</f>
        <v>10</v>
      </c>
      <c r="C11" s="219">
        <f>B11</f>
        <v>10</v>
      </c>
      <c r="D11" s="219">
        <f>C11*(1+$B$7)</f>
        <v>10.199999999999999</v>
      </c>
      <c r="E11" s="219">
        <f t="shared" ref="E11:M12" si="3">D11*(1+$B$7)</f>
        <v>10.404</v>
      </c>
      <c r="F11" s="219">
        <f t="shared" si="3"/>
        <v>10.612080000000001</v>
      </c>
      <c r="G11" s="219">
        <f t="shared" si="3"/>
        <v>10.824321600000001</v>
      </c>
      <c r="H11" s="219">
        <f t="shared" si="3"/>
        <v>11.040808032000001</v>
      </c>
      <c r="I11" s="219">
        <f t="shared" si="3"/>
        <v>11.261624192640001</v>
      </c>
      <c r="J11" s="219">
        <f t="shared" si="3"/>
        <v>11.486856676492801</v>
      </c>
      <c r="K11" s="219">
        <f t="shared" si="3"/>
        <v>11.716593810022657</v>
      </c>
      <c r="L11" s="219">
        <f t="shared" si="3"/>
        <v>11.95092568622311</v>
      </c>
      <c r="M11" s="219">
        <f t="shared" si="3"/>
        <v>12.189944199947572</v>
      </c>
    </row>
    <row r="12" spans="1:13" x14ac:dyDescent="0.2">
      <c r="A12" s="742" t="s">
        <v>306</v>
      </c>
      <c r="B12" s="194">
        <f>D126</f>
        <v>2</v>
      </c>
      <c r="C12" s="219">
        <f>B12</f>
        <v>2</v>
      </c>
      <c r="D12" s="219">
        <f>C12*(1+$B$7)</f>
        <v>2.04</v>
      </c>
      <c r="E12" s="219">
        <f t="shared" si="3"/>
        <v>2.0808</v>
      </c>
      <c r="F12" s="219">
        <f t="shared" si="3"/>
        <v>2.1224159999999999</v>
      </c>
      <c r="G12" s="219">
        <f t="shared" si="3"/>
        <v>2.16486432</v>
      </c>
      <c r="H12" s="219">
        <f t="shared" si="3"/>
        <v>2.2081616064</v>
      </c>
      <c r="I12" s="219">
        <f t="shared" si="3"/>
        <v>2.2523248385280001</v>
      </c>
      <c r="J12" s="219">
        <f t="shared" si="3"/>
        <v>2.2973713352985601</v>
      </c>
      <c r="K12" s="219">
        <f t="shared" si="3"/>
        <v>2.3433187620045315</v>
      </c>
      <c r="L12" s="219">
        <f t="shared" si="3"/>
        <v>2.3901851372446221</v>
      </c>
      <c r="M12" s="219">
        <f t="shared" si="3"/>
        <v>2.4379888399895147</v>
      </c>
    </row>
    <row r="13" spans="1:13" x14ac:dyDescent="0.2">
      <c r="A13" s="742" t="s">
        <v>70</v>
      </c>
      <c r="B13" s="29">
        <f>E123</f>
        <v>0.85</v>
      </c>
      <c r="C13" s="234">
        <f>$B$13*C8</f>
        <v>0</v>
      </c>
      <c r="D13" s="234">
        <f t="shared" ref="D13:M13" si="4">$B$13*D8</f>
        <v>4825.1482500000002</v>
      </c>
      <c r="E13" s="234">
        <f t="shared" si="4"/>
        <v>6433.5309999999999</v>
      </c>
      <c r="F13" s="234">
        <f t="shared" si="4"/>
        <v>4825.1482500000011</v>
      </c>
      <c r="G13" s="234">
        <f t="shared" si="4"/>
        <v>6433.5309999999999</v>
      </c>
      <c r="H13" s="234">
        <f t="shared" si="4"/>
        <v>6433.5309999999999</v>
      </c>
      <c r="I13" s="234">
        <f t="shared" si="4"/>
        <v>3216.7654999999995</v>
      </c>
      <c r="J13" s="234">
        <f t="shared" si="4"/>
        <v>6433.5309999999999</v>
      </c>
      <c r="K13" s="234">
        <f t="shared" si="4"/>
        <v>4825.1482500000002</v>
      </c>
      <c r="L13" s="234">
        <f t="shared" si="4"/>
        <v>3216.7655</v>
      </c>
      <c r="M13" s="234">
        <f t="shared" si="4"/>
        <v>1608.38275</v>
      </c>
    </row>
    <row r="14" spans="1:13" x14ac:dyDescent="0.2">
      <c r="A14" s="742" t="s">
        <v>291</v>
      </c>
      <c r="B14" s="29"/>
      <c r="C14" s="234">
        <f>C13</f>
        <v>0</v>
      </c>
      <c r="D14" s="234">
        <f>C14+D13</f>
        <v>4825.1482500000002</v>
      </c>
      <c r="E14" s="234">
        <f t="shared" ref="E14:M14" si="5">D14+E13</f>
        <v>11258.679250000001</v>
      </c>
      <c r="F14" s="234">
        <f t="shared" si="5"/>
        <v>16083.827500000003</v>
      </c>
      <c r="G14" s="234">
        <f t="shared" si="5"/>
        <v>22517.358500000002</v>
      </c>
      <c r="H14" s="234">
        <f t="shared" si="5"/>
        <v>28950.889500000001</v>
      </c>
      <c r="I14" s="234">
        <f t="shared" si="5"/>
        <v>32167.654999999999</v>
      </c>
      <c r="J14" s="234">
        <f t="shared" si="5"/>
        <v>38601.186000000002</v>
      </c>
      <c r="K14" s="234">
        <f t="shared" si="5"/>
        <v>43426.33425</v>
      </c>
      <c r="L14" s="234">
        <f t="shared" si="5"/>
        <v>46643.099750000001</v>
      </c>
      <c r="M14" s="234">
        <f t="shared" si="5"/>
        <v>48251.482499999998</v>
      </c>
    </row>
    <row r="15" spans="1:13" s="36" customFormat="1" x14ac:dyDescent="0.2">
      <c r="A15" s="17"/>
      <c r="B15" s="61"/>
      <c r="C15" s="235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x14ac:dyDescent="0.2">
      <c r="A16" s="10" t="s">
        <v>5</v>
      </c>
      <c r="B16" s="5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742" t="s">
        <v>89</v>
      </c>
      <c r="B17" s="25"/>
      <c r="C17" s="26"/>
      <c r="D17" s="38">
        <f>D14*D10</f>
        <v>150110.36205749999</v>
      </c>
      <c r="E17" s="38">
        <f t="shared" ref="E17:M17" si="6">E14*E10</f>
        <v>357262.66169685003</v>
      </c>
      <c r="F17" s="38">
        <f t="shared" si="6"/>
        <v>520582.73561541009</v>
      </c>
      <c r="G17" s="38">
        <f t="shared" si="6"/>
        <v>743392.14645880554</v>
      </c>
      <c r="H17" s="38">
        <f t="shared" si="6"/>
        <v>974905.70064169064</v>
      </c>
      <c r="I17" s="38">
        <f t="shared" si="6"/>
        <v>1104893.127393916</v>
      </c>
      <c r="J17" s="38">
        <f t="shared" si="6"/>
        <v>1352389.1879301534</v>
      </c>
      <c r="K17" s="38">
        <f t="shared" si="6"/>
        <v>1551866.5931498508</v>
      </c>
      <c r="L17" s="38">
        <f t="shared" si="6"/>
        <v>1700156.0676063925</v>
      </c>
      <c r="M17" s="38">
        <f t="shared" si="6"/>
        <v>1793957.7816812277</v>
      </c>
    </row>
    <row r="18" spans="1:13" x14ac:dyDescent="0.2">
      <c r="A18" s="742" t="s">
        <v>310</v>
      </c>
      <c r="B18" s="35"/>
      <c r="C18" s="236"/>
      <c r="D18" s="254">
        <f>D14*D12*-1</f>
        <v>-9843.3024299999997</v>
      </c>
      <c r="E18" s="254">
        <f t="shared" ref="E18:M18" si="7">E14*E12*-1</f>
        <v>-23427.059783400004</v>
      </c>
      <c r="F18" s="254">
        <f t="shared" si="7"/>
        <v>-34136.572827240001</v>
      </c>
      <c r="G18" s="254">
        <f t="shared" si="7"/>
        <v>-48747.025997298726</v>
      </c>
      <c r="H18" s="254">
        <f t="shared" si="7"/>
        <v>-63928.242665028898</v>
      </c>
      <c r="I18" s="254">
        <f t="shared" si="7"/>
        <v>-72452.008353699421</v>
      </c>
      <c r="J18" s="254">
        <f t="shared" si="7"/>
        <v>-88681.258224928082</v>
      </c>
      <c r="K18" s="254">
        <f t="shared" si="7"/>
        <v>-101761.74381310499</v>
      </c>
      <c r="L18" s="254">
        <f t="shared" si="7"/>
        <v>-111485.64377746836</v>
      </c>
      <c r="M18" s="254">
        <f t="shared" si="7"/>
        <v>-117636.57584794937</v>
      </c>
    </row>
    <row r="19" spans="1:13" x14ac:dyDescent="0.2">
      <c r="A19" s="742" t="s">
        <v>303</v>
      </c>
      <c r="B19" s="40">
        <f>D127</f>
        <v>0.01</v>
      </c>
      <c r="C19" s="238"/>
      <c r="D19" s="41">
        <f>$B$19*-1*D17</f>
        <v>-1501.1036205749999</v>
      </c>
      <c r="E19" s="41">
        <f t="shared" ref="E19:M19" si="8">$B$19*-1*E17</f>
        <v>-3572.6266169685005</v>
      </c>
      <c r="F19" s="41">
        <f t="shared" si="8"/>
        <v>-5205.8273561541009</v>
      </c>
      <c r="G19" s="41">
        <f t="shared" si="8"/>
        <v>-7433.9214645880556</v>
      </c>
      <c r="H19" s="41">
        <f t="shared" si="8"/>
        <v>-9749.057006416906</v>
      </c>
      <c r="I19" s="41">
        <f t="shared" si="8"/>
        <v>-11048.931273939161</v>
      </c>
      <c r="J19" s="41">
        <f t="shared" si="8"/>
        <v>-13523.891879301535</v>
      </c>
      <c r="K19" s="41">
        <f t="shared" si="8"/>
        <v>-15518.665931498508</v>
      </c>
      <c r="L19" s="41">
        <f t="shared" si="8"/>
        <v>-17001.560676063928</v>
      </c>
      <c r="M19" s="41">
        <f t="shared" si="8"/>
        <v>-17939.577816812278</v>
      </c>
    </row>
    <row r="20" spans="1:13" x14ac:dyDescent="0.2">
      <c r="A20" s="742" t="s">
        <v>249</v>
      </c>
      <c r="B20" s="40">
        <f>B103</f>
        <v>0.05</v>
      </c>
      <c r="C20" s="238"/>
      <c r="D20" s="41">
        <f>$B$20*-1*D17</f>
        <v>-7505.5181028750003</v>
      </c>
      <c r="E20" s="41">
        <f t="shared" ref="E20:M20" si="9">$B$20*-1*E17</f>
        <v>-17863.133084842502</v>
      </c>
      <c r="F20" s="41">
        <f t="shared" si="9"/>
        <v>-26029.136780770506</v>
      </c>
      <c r="G20" s="41">
        <f t="shared" si="9"/>
        <v>-37169.607322940275</v>
      </c>
      <c r="H20" s="41">
        <f t="shared" si="9"/>
        <v>-48745.285032084532</v>
      </c>
      <c r="I20" s="41">
        <f t="shared" si="9"/>
        <v>-55244.656369695804</v>
      </c>
      <c r="J20" s="41">
        <f t="shared" si="9"/>
        <v>-67619.459396507678</v>
      </c>
      <c r="K20" s="41">
        <f t="shared" si="9"/>
        <v>-77593.329657492548</v>
      </c>
      <c r="L20" s="41">
        <f t="shared" si="9"/>
        <v>-85007.80338031963</v>
      </c>
      <c r="M20" s="41">
        <f t="shared" si="9"/>
        <v>-89697.889084061389</v>
      </c>
    </row>
    <row r="21" spans="1:13" x14ac:dyDescent="0.2">
      <c r="A21" s="742" t="s">
        <v>88</v>
      </c>
      <c r="B21" s="29">
        <f>D125-5%</f>
        <v>0.06</v>
      </c>
      <c r="C21" s="238"/>
      <c r="D21" s="41">
        <f>$B$21*-1*D17</f>
        <v>-9006.62172345</v>
      </c>
      <c r="E21" s="41">
        <f t="shared" ref="E21:M21" si="10">$B$21*-1*E17</f>
        <v>-21435.759701811003</v>
      </c>
      <c r="F21" s="41">
        <f t="shared" si="10"/>
        <v>-31234.964136924606</v>
      </c>
      <c r="G21" s="41">
        <f t="shared" si="10"/>
        <v>-44603.528787528332</v>
      </c>
      <c r="H21" s="41">
        <f t="shared" si="10"/>
        <v>-58494.34203850144</v>
      </c>
      <c r="I21" s="41">
        <f t="shared" si="10"/>
        <v>-66293.587643634964</v>
      </c>
      <c r="J21" s="41">
        <f t="shared" si="10"/>
        <v>-81143.351275809211</v>
      </c>
      <c r="K21" s="41">
        <f t="shared" si="10"/>
        <v>-93111.995588991049</v>
      </c>
      <c r="L21" s="41">
        <f t="shared" si="10"/>
        <v>-102009.36405638355</v>
      </c>
      <c r="M21" s="41">
        <f t="shared" si="10"/>
        <v>-107637.46690087365</v>
      </c>
    </row>
    <row r="22" spans="1:13" x14ac:dyDescent="0.2">
      <c r="A22" s="742" t="s">
        <v>311</v>
      </c>
      <c r="B22" s="253">
        <f>B110</f>
        <v>10</v>
      </c>
      <c r="C22" s="238"/>
      <c r="D22" s="38">
        <f>D11*D14</f>
        <v>49216.512149999995</v>
      </c>
      <c r="E22" s="38">
        <f t="shared" ref="E22:M22" si="11">E11*E14</f>
        <v>117135.29891700001</v>
      </c>
      <c r="F22" s="38">
        <f t="shared" si="11"/>
        <v>170682.86413620005</v>
      </c>
      <c r="G22" s="38">
        <f t="shared" si="11"/>
        <v>243735.12998649364</v>
      </c>
      <c r="H22" s="38">
        <f t="shared" si="11"/>
        <v>319641.21332514449</v>
      </c>
      <c r="I22" s="38">
        <f t="shared" si="11"/>
        <v>362260.04176849709</v>
      </c>
      <c r="J22" s="38">
        <f t="shared" si="11"/>
        <v>443406.29112464044</v>
      </c>
      <c r="K22" s="38">
        <f t="shared" si="11"/>
        <v>508808.71906552487</v>
      </c>
      <c r="L22" s="38">
        <f t="shared" si="11"/>
        <v>557428.21888734179</v>
      </c>
      <c r="M22" s="38">
        <f t="shared" si="11"/>
        <v>588182.87923974672</v>
      </c>
    </row>
    <row r="23" spans="1:13" x14ac:dyDescent="0.2">
      <c r="A23" s="742" t="s">
        <v>313</v>
      </c>
      <c r="B23" s="189">
        <f>B113</f>
        <v>8</v>
      </c>
      <c r="C23" s="169"/>
      <c r="D23" s="38">
        <f>-1*$B$23*D14</f>
        <v>-38601.186000000002</v>
      </c>
      <c r="E23" s="38">
        <f t="shared" ref="E23:M23" si="12">-1*$B$23*E14</f>
        <v>-90069.434000000008</v>
      </c>
      <c r="F23" s="38">
        <f t="shared" si="12"/>
        <v>-128670.62000000002</v>
      </c>
      <c r="G23" s="38">
        <f t="shared" si="12"/>
        <v>-180138.86800000002</v>
      </c>
      <c r="H23" s="38">
        <f t="shared" si="12"/>
        <v>-231607.11600000001</v>
      </c>
      <c r="I23" s="38">
        <f t="shared" si="12"/>
        <v>-257341.24</v>
      </c>
      <c r="J23" s="38">
        <f t="shared" si="12"/>
        <v>-308809.48800000001</v>
      </c>
      <c r="K23" s="38">
        <f t="shared" si="12"/>
        <v>-347410.674</v>
      </c>
      <c r="L23" s="38">
        <f t="shared" si="12"/>
        <v>-373144.79800000001</v>
      </c>
      <c r="M23" s="38">
        <f t="shared" si="12"/>
        <v>-386011.86</v>
      </c>
    </row>
    <row r="24" spans="1:13" x14ac:dyDescent="0.2">
      <c r="A24" s="742" t="s">
        <v>314</v>
      </c>
      <c r="B24" s="29"/>
      <c r="C24" s="169"/>
      <c r="D24" s="38">
        <f t="shared" ref="D24:M24" si="13">-1*$B$112*$B$111*D14*D10</f>
        <v>-90066.2172345</v>
      </c>
      <c r="E24" s="38">
        <f t="shared" si="13"/>
        <v>-214357.59701810998</v>
      </c>
      <c r="F24" s="38">
        <f t="shared" si="13"/>
        <v>-312349.64136924606</v>
      </c>
      <c r="G24" s="38">
        <f t="shared" si="13"/>
        <v>-446035.28787528328</v>
      </c>
      <c r="H24" s="38">
        <f t="shared" si="13"/>
        <v>-584943.42038501438</v>
      </c>
      <c r="I24" s="38">
        <f t="shared" si="13"/>
        <v>-662935.87643634959</v>
      </c>
      <c r="J24" s="38">
        <f t="shared" si="13"/>
        <v>-811433.51275809191</v>
      </c>
      <c r="K24" s="38">
        <f t="shared" si="13"/>
        <v>-931119.95588991058</v>
      </c>
      <c r="L24" s="38">
        <f t="shared" si="13"/>
        <v>-1020093.6405638355</v>
      </c>
      <c r="M24" s="38">
        <f t="shared" si="13"/>
        <v>-1076374.6690087365</v>
      </c>
    </row>
    <row r="25" spans="1:13" x14ac:dyDescent="0.2">
      <c r="A25" s="743" t="s">
        <v>21</v>
      </c>
      <c r="B25" s="31"/>
      <c r="C25" s="42"/>
      <c r="D25" s="37">
        <f>SUM(D17:D24)</f>
        <v>42802.925096099949</v>
      </c>
      <c r="E25" s="37">
        <f t="shared" ref="E25:M25" si="14">SUM(E17:E24)</f>
        <v>103672.35040871805</v>
      </c>
      <c r="F25" s="37">
        <f t="shared" si="14"/>
        <v>153638.83728127484</v>
      </c>
      <c r="G25" s="37">
        <f t="shared" si="14"/>
        <v>222999.03699766053</v>
      </c>
      <c r="H25" s="37">
        <f t="shared" si="14"/>
        <v>297079.45083978889</v>
      </c>
      <c r="I25" s="37">
        <f t="shared" si="14"/>
        <v>341836.86908509408</v>
      </c>
      <c r="J25" s="37">
        <f t="shared" si="14"/>
        <v>424584.51752015587</v>
      </c>
      <c r="K25" s="37">
        <f t="shared" si="14"/>
        <v>494158.94733437838</v>
      </c>
      <c r="L25" s="37">
        <f t="shared" si="14"/>
        <v>548841.47603966331</v>
      </c>
      <c r="M25" s="37">
        <f t="shared" si="14"/>
        <v>586842.6222625412</v>
      </c>
    </row>
    <row r="26" spans="1:13" x14ac:dyDescent="0.2">
      <c r="A26" s="10" t="s">
        <v>15</v>
      </c>
      <c r="B26" s="5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">
      <c r="A27" s="742" t="s">
        <v>75</v>
      </c>
      <c r="B27" s="25"/>
      <c r="C27" s="26"/>
      <c r="D27" s="206">
        <v>0.3</v>
      </c>
      <c r="E27" s="206">
        <v>0.4</v>
      </c>
      <c r="F27" s="206">
        <f>1-(D27+E27)</f>
        <v>0.30000000000000004</v>
      </c>
      <c r="G27" s="206">
        <v>0.4</v>
      </c>
      <c r="H27" s="206">
        <v>0.4</v>
      </c>
      <c r="I27" s="206">
        <f>1-(G27+H27)</f>
        <v>0.19999999999999996</v>
      </c>
      <c r="J27" s="206">
        <v>0.4</v>
      </c>
      <c r="K27" s="206">
        <v>0.3</v>
      </c>
      <c r="L27" s="206">
        <v>0.2</v>
      </c>
      <c r="M27" s="206">
        <v>0.1</v>
      </c>
    </row>
    <row r="28" spans="1:13" x14ac:dyDescent="0.2">
      <c r="A28" s="742" t="s">
        <v>290</v>
      </c>
      <c r="B28" s="25"/>
      <c r="C28" s="26"/>
      <c r="D28" s="803">
        <f>D27</f>
        <v>0.3</v>
      </c>
      <c r="E28" s="803">
        <f>D28+E27</f>
        <v>0.7</v>
      </c>
      <c r="F28" s="803">
        <f>E28+F27</f>
        <v>1</v>
      </c>
      <c r="G28" s="803">
        <f>G27</f>
        <v>0.4</v>
      </c>
      <c r="H28" s="803">
        <f>G28+H27</f>
        <v>0.8</v>
      </c>
      <c r="I28" s="803">
        <f>H28+I27</f>
        <v>1</v>
      </c>
      <c r="J28" s="803">
        <f>J27</f>
        <v>0.4</v>
      </c>
      <c r="K28" s="803">
        <f>J28+K27</f>
        <v>0.7</v>
      </c>
      <c r="L28" s="803">
        <f>K28+L27</f>
        <v>0.89999999999999991</v>
      </c>
      <c r="M28" s="803">
        <f>L28+M27</f>
        <v>0.99999999999999989</v>
      </c>
    </row>
    <row r="29" spans="1:13" x14ac:dyDescent="0.2">
      <c r="A29" s="742" t="s">
        <v>15</v>
      </c>
      <c r="B29" s="25"/>
      <c r="C29" s="26"/>
      <c r="D29" s="38">
        <f t="shared" ref="D29:M29" si="15">D8*D9*-1</f>
        <v>-405312.45300000004</v>
      </c>
      <c r="E29" s="38">
        <f t="shared" si="15"/>
        <v>-551224.93608000001</v>
      </c>
      <c r="F29" s="38">
        <f t="shared" si="15"/>
        <v>-421687.07610120007</v>
      </c>
      <c r="G29" s="38">
        <f t="shared" si="15"/>
        <v>-573494.42349763203</v>
      </c>
      <c r="H29" s="38">
        <f t="shared" si="15"/>
        <v>-584964.31196758477</v>
      </c>
      <c r="I29" s="38">
        <f t="shared" si="15"/>
        <v>-298331.79910346813</v>
      </c>
      <c r="J29" s="38">
        <f t="shared" si="15"/>
        <v>-608596.87017107522</v>
      </c>
      <c r="K29" s="38">
        <f t="shared" si="15"/>
        <v>-465576.60568087257</v>
      </c>
      <c r="L29" s="38">
        <f t="shared" si="15"/>
        <v>-316592.09186299331</v>
      </c>
      <c r="M29" s="38">
        <f t="shared" si="15"/>
        <v>-161461.9668501266</v>
      </c>
    </row>
    <row r="30" spans="1:13" x14ac:dyDescent="0.2">
      <c r="A30" s="742" t="s">
        <v>118</v>
      </c>
      <c r="B30" s="252">
        <v>0.2</v>
      </c>
      <c r="C30" s="26"/>
      <c r="D30" s="38">
        <f t="shared" ref="D30:M30" si="16">(D29*$B$30)</f>
        <v>-81062.490600000019</v>
      </c>
      <c r="E30" s="38">
        <f t="shared" si="16"/>
        <v>-110244.98721600001</v>
      </c>
      <c r="F30" s="38">
        <f t="shared" si="16"/>
        <v>-84337.415220240015</v>
      </c>
      <c r="G30" s="38">
        <f t="shared" si="16"/>
        <v>-114698.88469952642</v>
      </c>
      <c r="H30" s="38">
        <f t="shared" si="16"/>
        <v>-116992.86239351696</v>
      </c>
      <c r="I30" s="38">
        <f t="shared" si="16"/>
        <v>-59666.359820693629</v>
      </c>
      <c r="J30" s="38">
        <f t="shared" si="16"/>
        <v>-121719.37403421506</v>
      </c>
      <c r="K30" s="38">
        <f t="shared" si="16"/>
        <v>-93115.32113617452</v>
      </c>
      <c r="L30" s="38">
        <f t="shared" si="16"/>
        <v>-63318.418372598666</v>
      </c>
      <c r="M30" s="38">
        <f t="shared" si="16"/>
        <v>-32292.393370025322</v>
      </c>
    </row>
    <row r="31" spans="1:13" x14ac:dyDescent="0.2">
      <c r="A31" s="742" t="s">
        <v>52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x14ac:dyDescent="0.2">
      <c r="A32" s="743" t="s">
        <v>19</v>
      </c>
      <c r="B32" s="31"/>
      <c r="C32" s="42"/>
      <c r="D32" s="37">
        <f>SUM(D29:D31)</f>
        <v>-486374.94360000006</v>
      </c>
      <c r="E32" s="37">
        <f t="shared" ref="E32:M32" si="17">SUM(E29:E31)</f>
        <v>-661469.92329599999</v>
      </c>
      <c r="F32" s="37">
        <f t="shared" si="17"/>
        <v>-506024.49132144009</v>
      </c>
      <c r="G32" s="37">
        <f t="shared" si="17"/>
        <v>-688193.30819715839</v>
      </c>
      <c r="H32" s="37">
        <f t="shared" si="17"/>
        <v>-701957.1743611017</v>
      </c>
      <c r="I32" s="37">
        <f t="shared" si="17"/>
        <v>-357998.15892416175</v>
      </c>
      <c r="J32" s="37">
        <f t="shared" si="17"/>
        <v>-730316.24420529022</v>
      </c>
      <c r="K32" s="37">
        <f t="shared" si="17"/>
        <v>-558691.92681704706</v>
      </c>
      <c r="L32" s="37">
        <f t="shared" si="17"/>
        <v>-379910.51023559197</v>
      </c>
      <c r="M32" s="37">
        <f t="shared" si="17"/>
        <v>-193754.36022015192</v>
      </c>
    </row>
    <row r="33" spans="1:13" x14ac:dyDescent="0.2">
      <c r="A33" s="10" t="s">
        <v>20</v>
      </c>
      <c r="B33" s="5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x14ac:dyDescent="0.2">
      <c r="A34" s="742" t="s">
        <v>21</v>
      </c>
      <c r="B34" s="28"/>
      <c r="C34" s="73"/>
      <c r="D34" s="38">
        <f>D25</f>
        <v>42802.925096099949</v>
      </c>
      <c r="E34" s="38">
        <f t="shared" ref="E34:M34" si="18">E25</f>
        <v>103672.35040871805</v>
      </c>
      <c r="F34" s="38">
        <f t="shared" si="18"/>
        <v>153638.83728127484</v>
      </c>
      <c r="G34" s="38">
        <f t="shared" si="18"/>
        <v>222999.03699766053</v>
      </c>
      <c r="H34" s="38">
        <f t="shared" si="18"/>
        <v>297079.45083978889</v>
      </c>
      <c r="I34" s="38">
        <f t="shared" si="18"/>
        <v>341836.86908509408</v>
      </c>
      <c r="J34" s="38">
        <f t="shared" si="18"/>
        <v>424584.51752015587</v>
      </c>
      <c r="K34" s="38">
        <f t="shared" si="18"/>
        <v>494158.94733437838</v>
      </c>
      <c r="L34" s="38">
        <f t="shared" si="18"/>
        <v>548841.47603966331</v>
      </c>
      <c r="M34" s="38">
        <f t="shared" si="18"/>
        <v>586842.6222625412</v>
      </c>
    </row>
    <row r="35" spans="1:13" x14ac:dyDescent="0.2">
      <c r="A35" s="742" t="s">
        <v>76</v>
      </c>
      <c r="B35" s="29">
        <f>E124</f>
        <v>0.09</v>
      </c>
      <c r="C35" s="169"/>
      <c r="D35" s="26"/>
      <c r="E35" s="26"/>
      <c r="F35" s="26"/>
      <c r="G35" s="26"/>
      <c r="H35" s="26"/>
      <c r="I35" s="26"/>
      <c r="J35" s="26"/>
      <c r="K35" s="26"/>
      <c r="L35" s="26"/>
      <c r="M35" s="173">
        <f>M34/B35</f>
        <v>6520473.5806949027</v>
      </c>
    </row>
    <row r="36" spans="1:13" x14ac:dyDescent="0.2">
      <c r="A36" s="742" t="s">
        <v>77</v>
      </c>
      <c r="B36" s="29">
        <f>B106</f>
        <v>0.03</v>
      </c>
      <c r="C36" s="169"/>
      <c r="D36" s="26"/>
      <c r="E36" s="26"/>
      <c r="F36" s="26"/>
      <c r="G36" s="26"/>
      <c r="H36" s="26"/>
      <c r="I36" s="26"/>
      <c r="J36" s="26"/>
      <c r="K36" s="26"/>
      <c r="L36" s="26"/>
      <c r="M36" s="38">
        <f>-1*M35*$B$36</f>
        <v>-195614.20742084709</v>
      </c>
    </row>
    <row r="37" spans="1:13" x14ac:dyDescent="0.2">
      <c r="A37" s="742" t="s">
        <v>253</v>
      </c>
      <c r="B37" s="29">
        <f>B107</f>
        <v>0.03</v>
      </c>
      <c r="C37" s="169"/>
      <c r="D37" s="38">
        <f>$B$37*D34</f>
        <v>1284.0877528829985</v>
      </c>
      <c r="E37" s="38">
        <f t="shared" ref="E37:M37" si="19">$B$37*E34</f>
        <v>3110.1705122615413</v>
      </c>
      <c r="F37" s="38">
        <f t="shared" si="19"/>
        <v>4609.1651184382454</v>
      </c>
      <c r="G37" s="38">
        <f t="shared" si="19"/>
        <v>6689.9711099298156</v>
      </c>
      <c r="H37" s="38">
        <f t="shared" si="19"/>
        <v>8912.3835251936671</v>
      </c>
      <c r="I37" s="38">
        <f t="shared" si="19"/>
        <v>10255.106072552822</v>
      </c>
      <c r="J37" s="38">
        <f t="shared" si="19"/>
        <v>12737.535525604675</v>
      </c>
      <c r="K37" s="38">
        <f t="shared" si="19"/>
        <v>14824.768420031351</v>
      </c>
      <c r="L37" s="38">
        <f t="shared" si="19"/>
        <v>16465.244281189898</v>
      </c>
      <c r="M37" s="38">
        <f t="shared" si="19"/>
        <v>17605.278667876235</v>
      </c>
    </row>
    <row r="38" spans="1:13" x14ac:dyDescent="0.2">
      <c r="A38" s="742" t="s">
        <v>19</v>
      </c>
      <c r="B38" s="29"/>
      <c r="C38" s="169"/>
      <c r="D38" s="38">
        <f>D32</f>
        <v>-486374.94360000006</v>
      </c>
      <c r="E38" s="38">
        <f t="shared" ref="E38:M38" si="20">E32</f>
        <v>-661469.92329599999</v>
      </c>
      <c r="F38" s="38">
        <f t="shared" si="20"/>
        <v>-506024.49132144009</v>
      </c>
      <c r="G38" s="38">
        <f t="shared" si="20"/>
        <v>-688193.30819715839</v>
      </c>
      <c r="H38" s="38">
        <f t="shared" si="20"/>
        <v>-701957.1743611017</v>
      </c>
      <c r="I38" s="38">
        <f t="shared" si="20"/>
        <v>-357998.15892416175</v>
      </c>
      <c r="J38" s="38">
        <f t="shared" si="20"/>
        <v>-730316.24420529022</v>
      </c>
      <c r="K38" s="38">
        <f t="shared" si="20"/>
        <v>-558691.92681704706</v>
      </c>
      <c r="L38" s="38">
        <f t="shared" si="20"/>
        <v>-379910.51023559197</v>
      </c>
      <c r="M38" s="38">
        <f t="shared" si="20"/>
        <v>-193754.36022015192</v>
      </c>
    </row>
    <row r="39" spans="1:13" x14ac:dyDescent="0.2">
      <c r="A39" s="17" t="s">
        <v>24</v>
      </c>
      <c r="B39" s="69"/>
      <c r="C39" s="237"/>
      <c r="D39" s="37">
        <f>SUM(D34:D38)</f>
        <v>-442287.93075101712</v>
      </c>
      <c r="E39" s="37">
        <f t="shared" ref="E39:M39" si="21">SUM(E34:E38)</f>
        <v>-554687.40237502044</v>
      </c>
      <c r="F39" s="37">
        <f t="shared" si="21"/>
        <v>-347776.488921727</v>
      </c>
      <c r="G39" s="37">
        <f t="shared" si="21"/>
        <v>-458504.30008956802</v>
      </c>
      <c r="H39" s="37">
        <f t="shared" si="21"/>
        <v>-395965.33999611915</v>
      </c>
      <c r="I39" s="37">
        <f t="shared" si="21"/>
        <v>-5906.1837665148196</v>
      </c>
      <c r="J39" s="37">
        <f t="shared" si="21"/>
        <v>-292994.19115952967</v>
      </c>
      <c r="K39" s="37">
        <f t="shared" si="21"/>
        <v>-49708.211062637332</v>
      </c>
      <c r="L39" s="37">
        <f t="shared" si="21"/>
        <v>185396.21008526121</v>
      </c>
      <c r="M39" s="37">
        <f t="shared" si="21"/>
        <v>6735552.9139843211</v>
      </c>
    </row>
    <row r="40" spans="1:13" x14ac:dyDescent="0.2">
      <c r="A40" s="10" t="s">
        <v>27</v>
      </c>
      <c r="B40" s="221">
        <f>NPV(B101,D39:M39)</f>
        <v>817781.00538408931</v>
      </c>
      <c r="C40" s="178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x14ac:dyDescent="0.2">
      <c r="A41" s="19" t="s">
        <v>29</v>
      </c>
      <c r="B41" s="69">
        <f>IRR(D39:M39,0)</f>
        <v>0.15960810882557941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x14ac:dyDescent="0.2">
      <c r="A42" s="19" t="s">
        <v>31</v>
      </c>
      <c r="B42" s="3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x14ac:dyDescent="0.2">
      <c r="A43" s="626"/>
      <c r="B43" s="65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</row>
    <row r="44" spans="1:13" x14ac:dyDescent="0.2">
      <c r="A44" s="626"/>
      <c r="B44" s="65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</row>
    <row r="45" spans="1:13" x14ac:dyDescent="0.2">
      <c r="A45" s="626"/>
      <c r="B45" s="65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</row>
    <row r="46" spans="1:13" x14ac:dyDescent="0.2">
      <c r="A46" s="626"/>
      <c r="B46" s="65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</row>
    <row r="47" spans="1:13" x14ac:dyDescent="0.2">
      <c r="A47" s="626"/>
      <c r="B47" s="65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</row>
    <row r="48" spans="1:13" x14ac:dyDescent="0.2">
      <c r="A48" s="626"/>
      <c r="B48" s="65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</row>
    <row r="49" spans="1:13" x14ac:dyDescent="0.2">
      <c r="A49" s="626"/>
      <c r="B49" s="65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1:13" x14ac:dyDescent="0.2">
      <c r="A50" s="626"/>
      <c r="B50" s="65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  <row r="51" spans="1:13" x14ac:dyDescent="0.2">
      <c r="A51" s="626"/>
      <c r="B51" s="65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x14ac:dyDescent="0.2">
      <c r="A52" s="626"/>
      <c r="B52" s="65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</row>
    <row r="54" spans="1:13" x14ac:dyDescent="0.2">
      <c r="A54" s="119"/>
      <c r="B54" s="119"/>
      <c r="C54" s="120"/>
      <c r="D54" s="121"/>
      <c r="E54" s="121"/>
      <c r="F54" s="121"/>
      <c r="G54" s="121"/>
      <c r="H54" s="121"/>
      <c r="I54" s="121"/>
      <c r="J54" s="121"/>
      <c r="K54" s="121"/>
      <c r="L54" s="86" t="s">
        <v>1</v>
      </c>
      <c r="M54" s="87"/>
    </row>
    <row r="56" spans="1:13" x14ac:dyDescent="0.2">
      <c r="A56" s="232" t="s">
        <v>316</v>
      </c>
      <c r="B56" s="63"/>
      <c r="C56" s="158" t="s">
        <v>2</v>
      </c>
      <c r="D56" s="159" t="s">
        <v>115</v>
      </c>
      <c r="E56" s="160"/>
      <c r="F56" s="161"/>
      <c r="G56" s="162" t="s">
        <v>116</v>
      </c>
      <c r="H56" s="163"/>
      <c r="I56" s="164"/>
      <c r="J56" s="165" t="s">
        <v>117</v>
      </c>
      <c r="K56" s="166"/>
      <c r="L56" s="167"/>
      <c r="M56" s="168"/>
    </row>
    <row r="57" spans="1:13" x14ac:dyDescent="0.2">
      <c r="A57" s="5"/>
      <c r="B57" s="64" t="s">
        <v>58</v>
      </c>
      <c r="C57" s="81" t="s">
        <v>4</v>
      </c>
      <c r="D57" s="64">
        <v>2023</v>
      </c>
      <c r="E57" s="64">
        <f t="shared" ref="E57" si="22">D57+1</f>
        <v>2024</v>
      </c>
      <c r="F57" s="64">
        <f t="shared" ref="F57" si="23">E57+1</f>
        <v>2025</v>
      </c>
      <c r="G57" s="64">
        <f t="shared" ref="G57" si="24">F57+1</f>
        <v>2026</v>
      </c>
      <c r="H57" s="64">
        <f t="shared" ref="H57" si="25">G57+1</f>
        <v>2027</v>
      </c>
      <c r="I57" s="64">
        <f t="shared" ref="I57" si="26">H57+1</f>
        <v>2028</v>
      </c>
      <c r="J57" s="64">
        <f t="shared" ref="J57" si="27">I57+1</f>
        <v>2029</v>
      </c>
      <c r="K57" s="64">
        <f t="shared" ref="K57" si="28">J57+1</f>
        <v>2030</v>
      </c>
      <c r="L57" s="64">
        <f t="shared" ref="L57" si="29">K57+1</f>
        <v>2031</v>
      </c>
      <c r="M57" s="64">
        <f t="shared" ref="M57" si="30">L57+1</f>
        <v>2032</v>
      </c>
    </row>
    <row r="58" spans="1:13" x14ac:dyDescent="0.2">
      <c r="A58" s="10" t="s">
        <v>78</v>
      </c>
      <c r="B58" s="65"/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3" x14ac:dyDescent="0.2">
      <c r="A59" s="742" t="s">
        <v>59</v>
      </c>
      <c r="B59" s="29">
        <v>0.02</v>
      </c>
      <c r="C59" s="29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x14ac:dyDescent="0.2">
      <c r="A60" s="742" t="s">
        <v>274</v>
      </c>
      <c r="B60" s="233">
        <f>S76</f>
        <v>0</v>
      </c>
      <c r="C60" s="234">
        <f>$B$121*C78</f>
        <v>0</v>
      </c>
      <c r="D60" s="234">
        <f>$B$131*D78</f>
        <v>40321.154999999999</v>
      </c>
      <c r="E60" s="234">
        <f>$B$131*E78</f>
        <v>53761.540000000008</v>
      </c>
      <c r="F60" s="234">
        <f>$B$131*F78</f>
        <v>40321.155000000006</v>
      </c>
      <c r="G60" s="234">
        <f>$C$131*G78</f>
        <v>0</v>
      </c>
      <c r="H60" s="234">
        <f>$C$131*H78</f>
        <v>0</v>
      </c>
      <c r="I60" s="234">
        <f>$C$131*I78</f>
        <v>0</v>
      </c>
      <c r="J60" s="234">
        <f>$D$131*J78</f>
        <v>31591.644</v>
      </c>
      <c r="K60" s="234">
        <f>$D$131*K78</f>
        <v>23693.733</v>
      </c>
      <c r="L60" s="234">
        <f>$D$131*L78</f>
        <v>15795.822</v>
      </c>
      <c r="M60" s="234">
        <f>$D$131*M78</f>
        <v>7897.9110000000001</v>
      </c>
    </row>
    <row r="61" spans="1:13" x14ac:dyDescent="0.2">
      <c r="A61" s="742" t="s">
        <v>275</v>
      </c>
      <c r="B61" s="194">
        <f>E137-30</f>
        <v>110</v>
      </c>
      <c r="C61" s="219">
        <f>B61</f>
        <v>110</v>
      </c>
      <c r="D61" s="219">
        <f>C61*(1+$B$7)</f>
        <v>112.2</v>
      </c>
      <c r="E61" s="219">
        <f t="shared" ref="E61:M61" si="31">D61*(1+$B$7)</f>
        <v>114.444</v>
      </c>
      <c r="F61" s="219">
        <f t="shared" si="31"/>
        <v>116.73288000000001</v>
      </c>
      <c r="G61" s="219">
        <f t="shared" si="31"/>
        <v>119.06753760000001</v>
      </c>
      <c r="H61" s="219">
        <f t="shared" si="31"/>
        <v>121.44888835200001</v>
      </c>
      <c r="I61" s="219">
        <f t="shared" si="31"/>
        <v>123.87786611904001</v>
      </c>
      <c r="J61" s="219">
        <f t="shared" si="31"/>
        <v>126.35542344142081</v>
      </c>
      <c r="K61" s="219">
        <f t="shared" si="31"/>
        <v>128.88253191024924</v>
      </c>
      <c r="L61" s="219">
        <f t="shared" si="31"/>
        <v>131.46018254845424</v>
      </c>
      <c r="M61" s="219">
        <f t="shared" si="31"/>
        <v>134.08938619942333</v>
      </c>
    </row>
    <row r="62" spans="1:13" x14ac:dyDescent="0.2">
      <c r="A62" s="742" t="s">
        <v>308</v>
      </c>
      <c r="B62" s="194">
        <f>E132+10</f>
        <v>35</v>
      </c>
      <c r="C62" s="219">
        <f>B62</f>
        <v>35</v>
      </c>
      <c r="D62" s="219">
        <f>C62*(1+$B$7)</f>
        <v>35.700000000000003</v>
      </c>
      <c r="E62" s="219">
        <f t="shared" ref="E62:M62" si="32">D62*(1+$B$7)</f>
        <v>36.414000000000001</v>
      </c>
      <c r="F62" s="219">
        <f t="shared" si="32"/>
        <v>37.14228</v>
      </c>
      <c r="G62" s="219">
        <f t="shared" si="32"/>
        <v>37.885125600000002</v>
      </c>
      <c r="H62" s="219">
        <f t="shared" si="32"/>
        <v>38.642828112000004</v>
      </c>
      <c r="I62" s="219">
        <f t="shared" si="32"/>
        <v>39.415684674240005</v>
      </c>
      <c r="J62" s="219">
        <f t="shared" si="32"/>
        <v>40.203998367724807</v>
      </c>
      <c r="K62" s="219">
        <f t="shared" si="32"/>
        <v>41.008078335079304</v>
      </c>
      <c r="L62" s="219">
        <f t="shared" si="32"/>
        <v>41.82823990178089</v>
      </c>
      <c r="M62" s="219">
        <f t="shared" si="32"/>
        <v>42.664804699816507</v>
      </c>
    </row>
    <row r="63" spans="1:13" x14ac:dyDescent="0.2">
      <c r="A63" s="742" t="s">
        <v>309</v>
      </c>
      <c r="B63" s="194">
        <f>B110-3</f>
        <v>7</v>
      </c>
      <c r="C63" s="219">
        <f>B63</f>
        <v>7</v>
      </c>
      <c r="D63" s="219">
        <f>C63*(1+$B$7)</f>
        <v>7.1400000000000006</v>
      </c>
      <c r="E63" s="219">
        <f t="shared" ref="E63:M63" si="33">D63*(1+$B$7)</f>
        <v>7.2828000000000008</v>
      </c>
      <c r="F63" s="219">
        <f t="shared" si="33"/>
        <v>7.4284560000000006</v>
      </c>
      <c r="G63" s="219">
        <f t="shared" si="33"/>
        <v>7.5770251200000009</v>
      </c>
      <c r="H63" s="219">
        <f t="shared" si="33"/>
        <v>7.7285656224000014</v>
      </c>
      <c r="I63" s="219">
        <f t="shared" si="33"/>
        <v>7.883136934848002</v>
      </c>
      <c r="J63" s="219">
        <f t="shared" si="33"/>
        <v>8.0407996735449618</v>
      </c>
      <c r="K63" s="219">
        <f t="shared" si="33"/>
        <v>8.2016156670158615</v>
      </c>
      <c r="L63" s="219">
        <f t="shared" si="33"/>
        <v>8.3656479803561794</v>
      </c>
      <c r="M63" s="219">
        <f t="shared" si="33"/>
        <v>8.5329609399633028</v>
      </c>
    </row>
    <row r="64" spans="1:13" x14ac:dyDescent="0.2">
      <c r="A64" s="742" t="s">
        <v>306</v>
      </c>
      <c r="B64" s="194">
        <f>E136</f>
        <v>2</v>
      </c>
      <c r="C64" s="219">
        <f>B64</f>
        <v>2</v>
      </c>
      <c r="D64" s="219">
        <f>C64*(1+$B$7)</f>
        <v>2.04</v>
      </c>
      <c r="E64" s="219">
        <f t="shared" ref="E64:M64" si="34">D64*(1+$B$7)</f>
        <v>2.0808</v>
      </c>
      <c r="F64" s="219">
        <f t="shared" si="34"/>
        <v>2.1224159999999999</v>
      </c>
      <c r="G64" s="219">
        <f t="shared" si="34"/>
        <v>2.16486432</v>
      </c>
      <c r="H64" s="219">
        <f t="shared" si="34"/>
        <v>2.2081616064</v>
      </c>
      <c r="I64" s="219">
        <f t="shared" si="34"/>
        <v>2.2523248385280001</v>
      </c>
      <c r="J64" s="219">
        <f t="shared" si="34"/>
        <v>2.2973713352985601</v>
      </c>
      <c r="K64" s="219">
        <f t="shared" si="34"/>
        <v>2.3433187620045315</v>
      </c>
      <c r="L64" s="219">
        <f t="shared" si="34"/>
        <v>2.3901851372446221</v>
      </c>
      <c r="M64" s="219">
        <f t="shared" si="34"/>
        <v>2.4379888399895147</v>
      </c>
    </row>
    <row r="65" spans="1:13" x14ac:dyDescent="0.2">
      <c r="A65" s="742" t="s">
        <v>70</v>
      </c>
      <c r="B65" s="29">
        <f>E133</f>
        <v>0.85</v>
      </c>
      <c r="C65" s="234">
        <f>$B$13*C60</f>
        <v>0</v>
      </c>
      <c r="D65" s="234">
        <f t="shared" ref="D65:M65" si="35">$B$13*D60</f>
        <v>34272.981749999999</v>
      </c>
      <c r="E65" s="234">
        <f t="shared" si="35"/>
        <v>45697.309000000008</v>
      </c>
      <c r="F65" s="234">
        <f t="shared" si="35"/>
        <v>34272.981750000006</v>
      </c>
      <c r="G65" s="234">
        <f t="shared" si="35"/>
        <v>0</v>
      </c>
      <c r="H65" s="234">
        <f t="shared" si="35"/>
        <v>0</v>
      </c>
      <c r="I65" s="234">
        <f t="shared" si="35"/>
        <v>0</v>
      </c>
      <c r="J65" s="234">
        <f t="shared" si="35"/>
        <v>26852.897399999998</v>
      </c>
      <c r="K65" s="234">
        <f t="shared" si="35"/>
        <v>20139.673050000001</v>
      </c>
      <c r="L65" s="234">
        <f t="shared" si="35"/>
        <v>13426.448699999999</v>
      </c>
      <c r="M65" s="234">
        <f t="shared" si="35"/>
        <v>6713.2243499999995</v>
      </c>
    </row>
    <row r="66" spans="1:13" x14ac:dyDescent="0.2">
      <c r="A66" s="742" t="s">
        <v>291</v>
      </c>
      <c r="B66" s="29"/>
      <c r="C66" s="234">
        <f>C65</f>
        <v>0</v>
      </c>
      <c r="D66" s="234">
        <f>C66+D65</f>
        <v>34272.981749999999</v>
      </c>
      <c r="E66" s="234">
        <f t="shared" ref="E66" si="36">D66+E65</f>
        <v>79970.290750000015</v>
      </c>
      <c r="F66" s="234">
        <f t="shared" ref="F66" si="37">E66+F65</f>
        <v>114243.27250000002</v>
      </c>
      <c r="G66" s="234">
        <f t="shared" ref="G66" si="38">F66+G65</f>
        <v>114243.27250000002</v>
      </c>
      <c r="H66" s="234">
        <f t="shared" ref="H66" si="39">G66+H65</f>
        <v>114243.27250000002</v>
      </c>
      <c r="I66" s="234">
        <f t="shared" ref="I66" si="40">H66+I65</f>
        <v>114243.27250000002</v>
      </c>
      <c r="J66" s="234">
        <f t="shared" ref="J66" si="41">I66+J65</f>
        <v>141096.16990000001</v>
      </c>
      <c r="K66" s="234">
        <f t="shared" ref="K66" si="42">J66+K65</f>
        <v>161235.84295000002</v>
      </c>
      <c r="L66" s="234">
        <f t="shared" ref="L66" si="43">K66+L65</f>
        <v>174662.29165000003</v>
      </c>
      <c r="M66" s="234">
        <f t="shared" ref="M66" si="44">L66+M65</f>
        <v>181375.51600000003</v>
      </c>
    </row>
    <row r="67" spans="1:13" x14ac:dyDescent="0.2">
      <c r="A67" s="17"/>
      <c r="B67" s="61"/>
      <c r="C67" s="235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x14ac:dyDescent="0.2">
      <c r="A68" s="10" t="s">
        <v>5</v>
      </c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x14ac:dyDescent="0.2">
      <c r="A69" s="742" t="s">
        <v>89</v>
      </c>
      <c r="B69" s="25"/>
      <c r="C69" s="26"/>
      <c r="D69" s="38">
        <f>D66*D62</f>
        <v>1223545.448475</v>
      </c>
      <c r="E69" s="38">
        <f t="shared" ref="E69:M69" si="45">E66*E62</f>
        <v>2912038.1673705005</v>
      </c>
      <c r="F69" s="38">
        <f t="shared" si="45"/>
        <v>4243255.6153113004</v>
      </c>
      <c r="G69" s="38">
        <f t="shared" si="45"/>
        <v>4328120.7276175274</v>
      </c>
      <c r="H69" s="38">
        <f t="shared" si="45"/>
        <v>4414683.1421698779</v>
      </c>
      <c r="I69" s="38">
        <f t="shared" si="45"/>
        <v>4502976.8050132757</v>
      </c>
      <c r="J69" s="38">
        <f t="shared" si="45"/>
        <v>5672630.1843518224</v>
      </c>
      <c r="K69" s="38">
        <f t="shared" si="45"/>
        <v>6611972.078116145</v>
      </c>
      <c r="L69" s="38">
        <f t="shared" si="45"/>
        <v>7305816.2369310223</v>
      </c>
      <c r="M69" s="38">
        <f t="shared" si="45"/>
        <v>7738350.9674684452</v>
      </c>
    </row>
    <row r="70" spans="1:13" x14ac:dyDescent="0.2">
      <c r="A70" s="742" t="s">
        <v>310</v>
      </c>
      <c r="B70" s="35"/>
      <c r="C70" s="236"/>
      <c r="D70" s="254">
        <f>D66*D64*-1</f>
        <v>-69916.882769999997</v>
      </c>
      <c r="E70" s="254">
        <f t="shared" ref="E70:M70" si="46">E66*E64*-1</f>
        <v>-166402.18099260004</v>
      </c>
      <c r="F70" s="254">
        <f t="shared" si="46"/>
        <v>-242471.74944636002</v>
      </c>
      <c r="G70" s="254">
        <f t="shared" si="46"/>
        <v>-247321.18443528723</v>
      </c>
      <c r="H70" s="254">
        <f t="shared" si="46"/>
        <v>-252267.60812399301</v>
      </c>
      <c r="I70" s="254">
        <f t="shared" si="46"/>
        <v>-257312.96028647287</v>
      </c>
      <c r="J70" s="254">
        <f t="shared" si="46"/>
        <v>-324150.2962486755</v>
      </c>
      <c r="K70" s="254">
        <f t="shared" si="46"/>
        <v>-377826.97589235113</v>
      </c>
      <c r="L70" s="254">
        <f t="shared" si="46"/>
        <v>-417475.21353891556</v>
      </c>
      <c r="M70" s="254">
        <f t="shared" si="46"/>
        <v>-442191.48385533976</v>
      </c>
    </row>
    <row r="71" spans="1:13" x14ac:dyDescent="0.2">
      <c r="A71" s="742" t="s">
        <v>249</v>
      </c>
      <c r="B71" s="40">
        <f>B103</f>
        <v>0.05</v>
      </c>
      <c r="C71" s="238"/>
      <c r="D71" s="41">
        <f>$B$71*-1*D69</f>
        <v>-61177.272423750001</v>
      </c>
      <c r="E71" s="41">
        <f t="shared" ref="E71:M71" si="47">$B$71*-1*E69</f>
        <v>-145601.90836852504</v>
      </c>
      <c r="F71" s="41">
        <f t="shared" si="47"/>
        <v>-212162.78076556502</v>
      </c>
      <c r="G71" s="41">
        <f t="shared" si="47"/>
        <v>-216406.03638087638</v>
      </c>
      <c r="H71" s="41">
        <f t="shared" si="47"/>
        <v>-220734.15710849391</v>
      </c>
      <c r="I71" s="41">
        <f t="shared" si="47"/>
        <v>-225148.84025066381</v>
      </c>
      <c r="J71" s="41">
        <f t="shared" si="47"/>
        <v>-283631.50921759114</v>
      </c>
      <c r="K71" s="41">
        <f t="shared" si="47"/>
        <v>-330598.60390580725</v>
      </c>
      <c r="L71" s="41">
        <f t="shared" si="47"/>
        <v>-365290.81184655114</v>
      </c>
      <c r="M71" s="41">
        <f t="shared" si="47"/>
        <v>-386917.54837342229</v>
      </c>
    </row>
    <row r="72" spans="1:13" x14ac:dyDescent="0.2">
      <c r="A72" s="742" t="s">
        <v>88</v>
      </c>
      <c r="B72" s="29">
        <f>E135-4%</f>
        <v>7.0000000000000007E-2</v>
      </c>
      <c r="C72" s="238"/>
      <c r="D72" s="41">
        <f>$B$72*-1*D69</f>
        <v>-85648.181393250008</v>
      </c>
      <c r="E72" s="41">
        <f t="shared" ref="E72:M72" si="48">$B$72*-1*E69</f>
        <v>-203842.67171593505</v>
      </c>
      <c r="F72" s="41">
        <f t="shared" si="48"/>
        <v>-297027.89307179104</v>
      </c>
      <c r="G72" s="41">
        <f t="shared" si="48"/>
        <v>-302968.45093322697</v>
      </c>
      <c r="H72" s="41">
        <f t="shared" si="48"/>
        <v>-309027.81995189149</v>
      </c>
      <c r="I72" s="41">
        <f t="shared" si="48"/>
        <v>-315208.37635092932</v>
      </c>
      <c r="J72" s="41">
        <f t="shared" si="48"/>
        <v>-397084.11290462757</v>
      </c>
      <c r="K72" s="41">
        <f t="shared" si="48"/>
        <v>-462838.04546813021</v>
      </c>
      <c r="L72" s="41">
        <f t="shared" si="48"/>
        <v>-511407.13658517163</v>
      </c>
      <c r="M72" s="41">
        <f t="shared" si="48"/>
        <v>-541684.56772279122</v>
      </c>
    </row>
    <row r="73" spans="1:13" x14ac:dyDescent="0.2">
      <c r="A73" s="742" t="s">
        <v>311</v>
      </c>
      <c r="B73" s="253">
        <f>B110</f>
        <v>10</v>
      </c>
      <c r="C73" s="238"/>
      <c r="D73" s="38">
        <f t="shared" ref="D73:M73" si="49">D63*D66</f>
        <v>244709.089695</v>
      </c>
      <c r="E73" s="38">
        <f t="shared" si="49"/>
        <v>582407.63347410015</v>
      </c>
      <c r="F73" s="38">
        <f t="shared" si="49"/>
        <v>848651.12306226022</v>
      </c>
      <c r="G73" s="38">
        <f t="shared" si="49"/>
        <v>865624.14552350552</v>
      </c>
      <c r="H73" s="38">
        <f t="shared" si="49"/>
        <v>882936.62843397562</v>
      </c>
      <c r="I73" s="38">
        <f t="shared" si="49"/>
        <v>900595.36100265523</v>
      </c>
      <c r="J73" s="38">
        <f t="shared" si="49"/>
        <v>1134526.0368703646</v>
      </c>
      <c r="K73" s="38">
        <f t="shared" si="49"/>
        <v>1322394.415623229</v>
      </c>
      <c r="L73" s="38">
        <f t="shared" si="49"/>
        <v>1461163.2473862048</v>
      </c>
      <c r="M73" s="38">
        <f t="shared" si="49"/>
        <v>1547670.1934936894</v>
      </c>
    </row>
    <row r="74" spans="1:13" x14ac:dyDescent="0.2">
      <c r="A74" s="742" t="s">
        <v>313</v>
      </c>
      <c r="B74" s="189">
        <f>B113-3</f>
        <v>5</v>
      </c>
      <c r="C74" s="169"/>
      <c r="D74" s="38">
        <f>-1*$B$74*D66</f>
        <v>-171364.90875</v>
      </c>
      <c r="E74" s="38">
        <f t="shared" ref="E74:M74" si="50">-1*$B$74*E66</f>
        <v>-399851.4537500001</v>
      </c>
      <c r="F74" s="38">
        <f t="shared" si="50"/>
        <v>-571216.36250000005</v>
      </c>
      <c r="G74" s="38">
        <f t="shared" si="50"/>
        <v>-571216.36250000005</v>
      </c>
      <c r="H74" s="38">
        <f t="shared" si="50"/>
        <v>-571216.36250000005</v>
      </c>
      <c r="I74" s="38">
        <f t="shared" si="50"/>
        <v>-571216.36250000005</v>
      </c>
      <c r="J74" s="38">
        <f t="shared" si="50"/>
        <v>-705480.84950000001</v>
      </c>
      <c r="K74" s="38">
        <f t="shared" si="50"/>
        <v>-806179.21475000004</v>
      </c>
      <c r="L74" s="38">
        <f t="shared" si="50"/>
        <v>-873311.45825000014</v>
      </c>
      <c r="M74" s="38">
        <f t="shared" si="50"/>
        <v>-906877.58000000019</v>
      </c>
    </row>
    <row r="75" spans="1:13" x14ac:dyDescent="0.2">
      <c r="A75" s="742" t="s">
        <v>314</v>
      </c>
      <c r="B75" s="29"/>
      <c r="C75" s="169"/>
      <c r="D75" s="38">
        <f t="shared" ref="D75:M75" si="51">-1*$B$112*$B$111*D66*D62</f>
        <v>-734127.26908500004</v>
      </c>
      <c r="E75" s="38">
        <f t="shared" si="51"/>
        <v>-1747222.9004223002</v>
      </c>
      <c r="F75" s="38">
        <f t="shared" si="51"/>
        <v>-2545953.3691867804</v>
      </c>
      <c r="G75" s="38">
        <f t="shared" si="51"/>
        <v>-2596872.4365705163</v>
      </c>
      <c r="H75" s="38">
        <f t="shared" si="51"/>
        <v>-2648809.8853019266</v>
      </c>
      <c r="I75" s="38">
        <f t="shared" si="51"/>
        <v>-2701786.0830079652</v>
      </c>
      <c r="J75" s="38">
        <f t="shared" si="51"/>
        <v>-3403578.1106110932</v>
      </c>
      <c r="K75" s="38">
        <f t="shared" si="51"/>
        <v>-3967183.2468696865</v>
      </c>
      <c r="L75" s="38">
        <f t="shared" si="51"/>
        <v>-4383489.7421586132</v>
      </c>
      <c r="M75" s="38">
        <f t="shared" si="51"/>
        <v>-4643010.5804810673</v>
      </c>
    </row>
    <row r="76" spans="1:13" x14ac:dyDescent="0.2">
      <c r="A76" s="743" t="s">
        <v>21</v>
      </c>
      <c r="B76" s="31"/>
      <c r="C76" s="42"/>
      <c r="D76" s="37">
        <f t="shared" ref="D76:M76" si="52">SUM(D69:D75)</f>
        <v>346020.02374799992</v>
      </c>
      <c r="E76" s="37">
        <f t="shared" si="52"/>
        <v>831524.68559523951</v>
      </c>
      <c r="F76" s="37">
        <f t="shared" si="52"/>
        <v>1223074.5834030639</v>
      </c>
      <c r="G76" s="37">
        <f t="shared" si="52"/>
        <v>1258960.4023211268</v>
      </c>
      <c r="H76" s="37">
        <f t="shared" si="52"/>
        <v>1295563.9376175483</v>
      </c>
      <c r="I76" s="37">
        <f t="shared" si="52"/>
        <v>1332899.5436199</v>
      </c>
      <c r="J76" s="37">
        <f t="shared" si="52"/>
        <v>1693231.3427401995</v>
      </c>
      <c r="K76" s="37">
        <f t="shared" si="52"/>
        <v>1989740.4068533988</v>
      </c>
      <c r="L76" s="37">
        <f t="shared" si="52"/>
        <v>2216005.1219379753</v>
      </c>
      <c r="M76" s="37">
        <f t="shared" si="52"/>
        <v>2365339.4005295141</v>
      </c>
    </row>
    <row r="77" spans="1:13" x14ac:dyDescent="0.2">
      <c r="A77" s="10" t="s">
        <v>15</v>
      </c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x14ac:dyDescent="0.2">
      <c r="A78" s="742" t="s">
        <v>75</v>
      </c>
      <c r="B78" s="25"/>
      <c r="C78" s="26"/>
      <c r="D78" s="206">
        <v>0.3</v>
      </c>
      <c r="E78" s="206">
        <v>0.4</v>
      </c>
      <c r="F78" s="206">
        <f>1-(D78+E78)</f>
        <v>0.30000000000000004</v>
      </c>
      <c r="G78" s="206">
        <v>0.2</v>
      </c>
      <c r="H78" s="206">
        <v>0.4</v>
      </c>
      <c r="I78" s="206">
        <f>1-(G78+H78)</f>
        <v>0.39999999999999991</v>
      </c>
      <c r="J78" s="206">
        <v>0.4</v>
      </c>
      <c r="K78" s="206">
        <v>0.3</v>
      </c>
      <c r="L78" s="206">
        <v>0.2</v>
      </c>
      <c r="M78" s="206">
        <v>0.1</v>
      </c>
    </row>
    <row r="79" spans="1:13" x14ac:dyDescent="0.2">
      <c r="A79" s="742" t="s">
        <v>290</v>
      </c>
      <c r="B79" s="25"/>
      <c r="C79" s="26"/>
      <c r="D79" s="803">
        <f>D78</f>
        <v>0.3</v>
      </c>
      <c r="E79" s="803">
        <f>D79+E78</f>
        <v>0.7</v>
      </c>
      <c r="F79" s="803">
        <f>E79+F78</f>
        <v>1</v>
      </c>
      <c r="G79" s="803">
        <f>G78</f>
        <v>0.2</v>
      </c>
      <c r="H79" s="803">
        <f>G79+H78</f>
        <v>0.60000000000000009</v>
      </c>
      <c r="I79" s="803">
        <f>H79+I78</f>
        <v>1</v>
      </c>
      <c r="J79" s="803">
        <f>J78</f>
        <v>0.4</v>
      </c>
      <c r="K79" s="803">
        <f>J79+K78</f>
        <v>0.7</v>
      </c>
      <c r="L79" s="803">
        <f>K79+L78</f>
        <v>0.89999999999999991</v>
      </c>
      <c r="M79" s="803">
        <f>L79+M78</f>
        <v>0.99999999999999989</v>
      </c>
    </row>
    <row r="80" spans="1:13" x14ac:dyDescent="0.2">
      <c r="A80" s="742" t="s">
        <v>15</v>
      </c>
      <c r="B80" s="25"/>
      <c r="C80" s="26"/>
      <c r="D80" s="38">
        <f t="shared" ref="D80:M80" si="53">D60*D61*-1</f>
        <v>-4524033.591</v>
      </c>
      <c r="E80" s="38">
        <f t="shared" si="53"/>
        <v>-6152685.6837600013</v>
      </c>
      <c r="F80" s="38">
        <f t="shared" si="53"/>
        <v>-4706804.5480764015</v>
      </c>
      <c r="G80" s="38">
        <f t="shared" si="53"/>
        <v>0</v>
      </c>
      <c r="H80" s="38">
        <f t="shared" si="53"/>
        <v>0</v>
      </c>
      <c r="I80" s="38">
        <f t="shared" si="53"/>
        <v>0</v>
      </c>
      <c r="J80" s="38">
        <f t="shared" si="53"/>
        <v>-3991775.554830621</v>
      </c>
      <c r="K80" s="38">
        <f t="shared" si="53"/>
        <v>-3053708.2994454256</v>
      </c>
      <c r="L80" s="38">
        <f t="shared" si="53"/>
        <v>-2076521.6436228896</v>
      </c>
      <c r="M80" s="38">
        <f t="shared" si="53"/>
        <v>-1059026.0382476738</v>
      </c>
    </row>
    <row r="81" spans="1:13" x14ac:dyDescent="0.2">
      <c r="A81" s="742" t="s">
        <v>118</v>
      </c>
      <c r="B81" s="252">
        <v>0.2</v>
      </c>
      <c r="C81" s="26"/>
      <c r="D81" s="38">
        <f t="shared" ref="D81:M81" si="54">(D80*$B$30)</f>
        <v>-904806.7182</v>
      </c>
      <c r="E81" s="38">
        <f t="shared" si="54"/>
        <v>-1230537.1367520003</v>
      </c>
      <c r="F81" s="38">
        <f t="shared" si="54"/>
        <v>-941360.90961528034</v>
      </c>
      <c r="G81" s="38">
        <f t="shared" si="54"/>
        <v>0</v>
      </c>
      <c r="H81" s="38">
        <f t="shared" si="54"/>
        <v>0</v>
      </c>
      <c r="I81" s="38">
        <f t="shared" si="54"/>
        <v>0</v>
      </c>
      <c r="J81" s="38">
        <f t="shared" si="54"/>
        <v>-798355.11096612422</v>
      </c>
      <c r="K81" s="38">
        <f t="shared" si="54"/>
        <v>-610741.6598890851</v>
      </c>
      <c r="L81" s="38">
        <f t="shared" si="54"/>
        <v>-415304.32872457796</v>
      </c>
      <c r="M81" s="38">
        <f t="shared" si="54"/>
        <v>-211805.20764953477</v>
      </c>
    </row>
    <row r="82" spans="1:13" x14ac:dyDescent="0.2">
      <c r="A82" s="742" t="s">
        <v>52</v>
      </c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x14ac:dyDescent="0.2">
      <c r="A83" s="743" t="s">
        <v>19</v>
      </c>
      <c r="B83" s="31"/>
      <c r="C83" s="42"/>
      <c r="D83" s="37">
        <f>SUM(D80:D82)</f>
        <v>-5428840.3092</v>
      </c>
      <c r="E83" s="37">
        <f t="shared" ref="E83" si="55">SUM(E80:E82)</f>
        <v>-7383222.8205120014</v>
      </c>
      <c r="F83" s="37">
        <f t="shared" ref="F83" si="56">SUM(F80:F82)</f>
        <v>-5648165.4576916816</v>
      </c>
      <c r="G83" s="37">
        <f t="shared" ref="G83" si="57">SUM(G80:G82)</f>
        <v>0</v>
      </c>
      <c r="H83" s="37">
        <f t="shared" ref="H83" si="58">SUM(H80:H82)</f>
        <v>0</v>
      </c>
      <c r="I83" s="37">
        <f t="shared" ref="I83" si="59">SUM(I80:I82)</f>
        <v>0</v>
      </c>
      <c r="J83" s="37">
        <f t="shared" ref="J83" si="60">SUM(J80:J82)</f>
        <v>-4790130.6657967456</v>
      </c>
      <c r="K83" s="37">
        <f t="shared" ref="K83" si="61">SUM(K80:K82)</f>
        <v>-3664449.9593345108</v>
      </c>
      <c r="L83" s="37">
        <f t="shared" ref="L83" si="62">SUM(L80:L82)</f>
        <v>-2491825.9723474677</v>
      </c>
      <c r="M83" s="37">
        <f t="shared" ref="M83" si="63">SUM(M80:M82)</f>
        <v>-1270831.2458972086</v>
      </c>
    </row>
    <row r="84" spans="1:13" x14ac:dyDescent="0.2">
      <c r="A84" s="10" t="s">
        <v>20</v>
      </c>
      <c r="B84" s="56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x14ac:dyDescent="0.2">
      <c r="A85" s="742" t="s">
        <v>21</v>
      </c>
      <c r="B85" s="28"/>
      <c r="C85" s="73"/>
      <c r="D85" s="38">
        <f>D76</f>
        <v>346020.02374799992</v>
      </c>
      <c r="E85" s="38">
        <f t="shared" ref="E85:M85" si="64">E76</f>
        <v>831524.68559523951</v>
      </c>
      <c r="F85" s="38">
        <f t="shared" si="64"/>
        <v>1223074.5834030639</v>
      </c>
      <c r="G85" s="38">
        <f t="shared" si="64"/>
        <v>1258960.4023211268</v>
      </c>
      <c r="H85" s="38">
        <f t="shared" si="64"/>
        <v>1295563.9376175483</v>
      </c>
      <c r="I85" s="38">
        <f t="shared" si="64"/>
        <v>1332899.5436199</v>
      </c>
      <c r="J85" s="38">
        <f t="shared" si="64"/>
        <v>1693231.3427401995</v>
      </c>
      <c r="K85" s="38">
        <f t="shared" si="64"/>
        <v>1989740.4068533988</v>
      </c>
      <c r="L85" s="38">
        <f t="shared" si="64"/>
        <v>2216005.1219379753</v>
      </c>
      <c r="M85" s="38">
        <f t="shared" si="64"/>
        <v>2365339.4005295141</v>
      </c>
    </row>
    <row r="86" spans="1:13" x14ac:dyDescent="0.2">
      <c r="A86" s="742" t="s">
        <v>76</v>
      </c>
      <c r="B86" s="29">
        <f>E134</f>
        <v>0.09</v>
      </c>
      <c r="C86" s="169"/>
      <c r="D86" s="26"/>
      <c r="E86" s="26"/>
      <c r="F86" s="26"/>
      <c r="G86" s="26"/>
      <c r="H86" s="26"/>
      <c r="I86" s="26"/>
      <c r="J86" s="26"/>
      <c r="K86" s="26"/>
      <c r="L86" s="26"/>
      <c r="M86" s="173">
        <f>M85/B86</f>
        <v>26281548.894772381</v>
      </c>
    </row>
    <row r="87" spans="1:13" x14ac:dyDescent="0.2">
      <c r="A87" s="742" t="s">
        <v>77</v>
      </c>
      <c r="B87" s="29">
        <f>B106</f>
        <v>0.03</v>
      </c>
      <c r="C87" s="169"/>
      <c r="D87" s="26"/>
      <c r="E87" s="26"/>
      <c r="F87" s="26"/>
      <c r="G87" s="26"/>
      <c r="H87" s="26"/>
      <c r="I87" s="26"/>
      <c r="J87" s="26"/>
      <c r="K87" s="26"/>
      <c r="L87" s="26"/>
      <c r="M87" s="38">
        <f>-1*M86*$B$36</f>
        <v>-788446.46684317139</v>
      </c>
    </row>
    <row r="88" spans="1:13" x14ac:dyDescent="0.2">
      <c r="A88" s="742" t="s">
        <v>253</v>
      </c>
      <c r="B88" s="29">
        <f>B107</f>
        <v>0.03</v>
      </c>
      <c r="C88" s="169"/>
      <c r="D88" s="38">
        <f>$B$37*D85</f>
        <v>10380.600712439997</v>
      </c>
      <c r="E88" s="38">
        <f t="shared" ref="E88:M88" si="65">$B$37*E85</f>
        <v>24945.740567857185</v>
      </c>
      <c r="F88" s="38">
        <f t="shared" si="65"/>
        <v>36692.237502091913</v>
      </c>
      <c r="G88" s="38">
        <f t="shared" si="65"/>
        <v>37768.812069633801</v>
      </c>
      <c r="H88" s="38">
        <f t="shared" si="65"/>
        <v>38866.918128526449</v>
      </c>
      <c r="I88" s="38">
        <f t="shared" si="65"/>
        <v>39986.986308596999</v>
      </c>
      <c r="J88" s="38">
        <f t="shared" si="65"/>
        <v>50796.940282205986</v>
      </c>
      <c r="K88" s="38">
        <f t="shared" si="65"/>
        <v>59692.212205601958</v>
      </c>
      <c r="L88" s="38">
        <f t="shared" si="65"/>
        <v>66480.153658139257</v>
      </c>
      <c r="M88" s="38">
        <f t="shared" si="65"/>
        <v>70960.182015885424</v>
      </c>
    </row>
    <row r="89" spans="1:13" x14ac:dyDescent="0.2">
      <c r="A89" s="742" t="s">
        <v>19</v>
      </c>
      <c r="B89" s="29"/>
      <c r="C89" s="169"/>
      <c r="D89" s="38">
        <f>D83</f>
        <v>-5428840.3092</v>
      </c>
      <c r="E89" s="38">
        <f t="shared" ref="E89:M89" si="66">E83</f>
        <v>-7383222.8205120014</v>
      </c>
      <c r="F89" s="38">
        <f t="shared" si="66"/>
        <v>-5648165.4576916816</v>
      </c>
      <c r="G89" s="38">
        <f t="shared" si="66"/>
        <v>0</v>
      </c>
      <c r="H89" s="38">
        <f t="shared" si="66"/>
        <v>0</v>
      </c>
      <c r="I89" s="38">
        <f t="shared" si="66"/>
        <v>0</v>
      </c>
      <c r="J89" s="38">
        <f t="shared" si="66"/>
        <v>-4790130.6657967456</v>
      </c>
      <c r="K89" s="38">
        <f t="shared" si="66"/>
        <v>-3664449.9593345108</v>
      </c>
      <c r="L89" s="38">
        <f t="shared" si="66"/>
        <v>-2491825.9723474677</v>
      </c>
      <c r="M89" s="38">
        <f t="shared" si="66"/>
        <v>-1270831.2458972086</v>
      </c>
    </row>
    <row r="90" spans="1:13" x14ac:dyDescent="0.2">
      <c r="A90" s="17" t="s">
        <v>24</v>
      </c>
      <c r="B90" s="69"/>
      <c r="C90" s="237"/>
      <c r="D90" s="37">
        <f>SUM(D85:D89)</f>
        <v>-5072439.6847395599</v>
      </c>
      <c r="E90" s="37">
        <f t="shared" ref="E90" si="67">SUM(E85:E89)</f>
        <v>-6526752.3943489045</v>
      </c>
      <c r="F90" s="37">
        <f t="shared" ref="F90" si="68">SUM(F85:F89)</f>
        <v>-4388398.6367865261</v>
      </c>
      <c r="G90" s="37">
        <f t="shared" ref="G90" si="69">SUM(G85:G89)</f>
        <v>1296729.2143907605</v>
      </c>
      <c r="H90" s="37">
        <f t="shared" ref="H90" si="70">SUM(H85:H89)</f>
        <v>1334430.8557460748</v>
      </c>
      <c r="I90" s="37">
        <f t="shared" ref="I90" si="71">SUM(I85:I89)</f>
        <v>1372886.529928497</v>
      </c>
      <c r="J90" s="37">
        <f t="shared" ref="J90" si="72">SUM(J85:J89)</f>
        <v>-3046102.38277434</v>
      </c>
      <c r="K90" s="37">
        <f t="shared" ref="K90" si="73">SUM(K85:K89)</f>
        <v>-1615017.3402755102</v>
      </c>
      <c r="L90" s="37">
        <f t="shared" ref="L90" si="74">SUM(L85:L89)</f>
        <v>-209340.69675135333</v>
      </c>
      <c r="M90" s="37">
        <f t="shared" ref="M90" si="75">SUM(M85:M89)</f>
        <v>26658570.7645774</v>
      </c>
    </row>
    <row r="91" spans="1:13" x14ac:dyDescent="0.2">
      <c r="A91" s="10" t="s">
        <v>27</v>
      </c>
      <c r="B91" s="221">
        <f>NPV(B143,D90:M90)</f>
        <v>-10986.083801991143</v>
      </c>
      <c r="C91" s="178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x14ac:dyDescent="0.2">
      <c r="A92" s="19" t="s">
        <v>29</v>
      </c>
      <c r="B92" s="69">
        <f>IRR(D90:M90,0)</f>
        <v>6.4202051057595799E-2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x14ac:dyDescent="0.2">
      <c r="A93" s="19" t="s">
        <v>31</v>
      </c>
      <c r="B93" s="3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9" spans="1:6" x14ac:dyDescent="0.2">
      <c r="A99" s="210" t="s">
        <v>245</v>
      </c>
      <c r="B99" s="214"/>
      <c r="C99" s="1"/>
    </row>
    <row r="100" spans="1:6" x14ac:dyDescent="0.2">
      <c r="A100" s="1" t="s">
        <v>246</v>
      </c>
      <c r="B100" s="118">
        <v>0.02</v>
      </c>
      <c r="C100" s="1"/>
    </row>
    <row r="101" spans="1:6" x14ac:dyDescent="0.2">
      <c r="A101" s="1" t="s">
        <v>247</v>
      </c>
      <c r="B101" s="118">
        <v>0.1</v>
      </c>
      <c r="C101" s="1"/>
    </row>
    <row r="102" spans="1:6" x14ac:dyDescent="0.2">
      <c r="A102" s="1" t="s">
        <v>248</v>
      </c>
      <c r="B102" s="118">
        <v>0.04</v>
      </c>
      <c r="C102" s="1"/>
    </row>
    <row r="103" spans="1:6" x14ac:dyDescent="0.2">
      <c r="A103" s="1" t="s">
        <v>249</v>
      </c>
      <c r="B103" s="118">
        <v>0.05</v>
      </c>
      <c r="C103" s="1"/>
    </row>
    <row r="104" spans="1:6" x14ac:dyDescent="0.2">
      <c r="A104" s="1" t="s">
        <v>250</v>
      </c>
      <c r="B104" s="118">
        <v>0</v>
      </c>
      <c r="C104" s="1"/>
    </row>
    <row r="105" spans="1:6" x14ac:dyDescent="0.2">
      <c r="A105" s="1" t="s">
        <v>251</v>
      </c>
      <c r="B105" s="1">
        <v>1.7528999999999999</v>
      </c>
      <c r="C105" s="1" t="s">
        <v>255</v>
      </c>
    </row>
    <row r="106" spans="1:6" x14ac:dyDescent="0.2">
      <c r="A106" s="1" t="s">
        <v>85</v>
      </c>
      <c r="B106" s="118">
        <v>0.03</v>
      </c>
      <c r="C106" s="1"/>
    </row>
    <row r="107" spans="1:6" x14ac:dyDescent="0.2">
      <c r="A107" s="1" t="s">
        <v>253</v>
      </c>
      <c r="B107" s="118">
        <v>0.03</v>
      </c>
      <c r="C107" s="1"/>
    </row>
    <row r="108" spans="1:6" x14ac:dyDescent="0.2">
      <c r="A108" s="1" t="s">
        <v>254</v>
      </c>
      <c r="B108" s="118">
        <v>0.01</v>
      </c>
      <c r="C108" s="1"/>
    </row>
    <row r="109" spans="1:6" x14ac:dyDescent="0.2">
      <c r="A109" s="1" t="s">
        <v>292</v>
      </c>
      <c r="B109" s="1" t="s">
        <v>293</v>
      </c>
      <c r="C109" s="1"/>
    </row>
    <row r="110" spans="1:6" x14ac:dyDescent="0.2">
      <c r="A110" s="1" t="s">
        <v>294</v>
      </c>
      <c r="B110" s="225">
        <v>10</v>
      </c>
      <c r="C110" s="1"/>
    </row>
    <row r="111" spans="1:6" x14ac:dyDescent="0.2">
      <c r="A111" s="1" t="s">
        <v>295</v>
      </c>
      <c r="B111" s="1">
        <v>10</v>
      </c>
      <c r="C111" s="1"/>
    </row>
    <row r="112" spans="1:6" x14ac:dyDescent="0.2">
      <c r="A112" s="36" t="s">
        <v>296</v>
      </c>
      <c r="B112" s="226">
        <v>0.06</v>
      </c>
      <c r="C112" s="36"/>
      <c r="D112" s="36"/>
      <c r="E112" s="36"/>
      <c r="F112" s="36"/>
    </row>
    <row r="113" spans="1:6" x14ac:dyDescent="0.2">
      <c r="A113" s="1" t="s">
        <v>297</v>
      </c>
      <c r="B113" s="225">
        <v>8</v>
      </c>
      <c r="C113" s="1"/>
    </row>
    <row r="114" spans="1:6" x14ac:dyDescent="0.2">
      <c r="B114" s="1"/>
      <c r="C114" s="1"/>
    </row>
    <row r="115" spans="1:6" x14ac:dyDescent="0.2">
      <c r="A115" s="136" t="s">
        <v>256</v>
      </c>
      <c r="B115" s="137"/>
      <c r="C115" s="137"/>
      <c r="D115" s="138"/>
      <c r="E115" s="149"/>
      <c r="F115" s="150"/>
    </row>
    <row r="116" spans="1:6" x14ac:dyDescent="0.2">
      <c r="A116" s="139" t="s">
        <v>257</v>
      </c>
      <c r="B116" s="102" t="s">
        <v>226</v>
      </c>
      <c r="C116" s="105" t="s">
        <v>187</v>
      </c>
      <c r="D116" s="140" t="s">
        <v>117</v>
      </c>
      <c r="E116" s="139"/>
      <c r="F116" s="141"/>
    </row>
    <row r="117" spans="1:6" x14ac:dyDescent="0.2">
      <c r="A117" s="146" t="s">
        <v>261</v>
      </c>
      <c r="B117" s="5" t="s">
        <v>262</v>
      </c>
      <c r="C117" s="5" t="s">
        <v>263</v>
      </c>
      <c r="D117" s="154" t="s">
        <v>264</v>
      </c>
      <c r="E117" s="146"/>
      <c r="F117" s="154"/>
    </row>
    <row r="118" spans="1:6" x14ac:dyDescent="0.2">
      <c r="A118" s="149" t="s">
        <v>298</v>
      </c>
      <c r="B118" s="184">
        <v>153432.58000000002</v>
      </c>
      <c r="C118" s="184">
        <v>0</v>
      </c>
      <c r="D118" s="184">
        <v>112933.88</v>
      </c>
      <c r="E118" s="230">
        <v>266366.46000000002</v>
      </c>
      <c r="F118" s="150" t="s">
        <v>40</v>
      </c>
    </row>
    <row r="119" spans="1:6" x14ac:dyDescent="0.2">
      <c r="A119" s="139"/>
      <c r="B119" s="142"/>
      <c r="C119" s="142"/>
      <c r="D119" s="142"/>
      <c r="E119" s="231"/>
      <c r="F119" s="141"/>
    </row>
    <row r="120" spans="1:6" x14ac:dyDescent="0.2">
      <c r="A120" s="227" t="s">
        <v>299</v>
      </c>
      <c r="B120" s="142"/>
      <c r="C120" s="142"/>
      <c r="D120" s="142"/>
      <c r="E120" s="231"/>
      <c r="F120" s="141"/>
    </row>
    <row r="121" spans="1:6" x14ac:dyDescent="0.2">
      <c r="A121" s="139" t="s">
        <v>300</v>
      </c>
      <c r="B121" s="142">
        <v>18922.150000000001</v>
      </c>
      <c r="C121" s="142">
        <v>0</v>
      </c>
      <c r="D121" s="142">
        <v>33848.19</v>
      </c>
      <c r="E121" s="231">
        <v>52770.340000000004</v>
      </c>
      <c r="F121" s="141" t="s">
        <v>40</v>
      </c>
    </row>
    <row r="122" spans="1:6" x14ac:dyDescent="0.2">
      <c r="A122" s="139" t="s">
        <v>301</v>
      </c>
      <c r="B122" s="228">
        <v>16.5</v>
      </c>
      <c r="C122" s="228"/>
      <c r="D122" s="228">
        <v>16.5</v>
      </c>
      <c r="E122" s="228">
        <v>16.5</v>
      </c>
      <c r="F122" s="141" t="s">
        <v>269</v>
      </c>
    </row>
    <row r="123" spans="1:6" x14ac:dyDescent="0.2">
      <c r="A123" s="139" t="s">
        <v>270</v>
      </c>
      <c r="B123" s="144">
        <v>0.85</v>
      </c>
      <c r="C123" s="144"/>
      <c r="D123" s="144">
        <v>0.85</v>
      </c>
      <c r="E123" s="144">
        <v>0.85</v>
      </c>
      <c r="F123" s="141" t="s">
        <v>269</v>
      </c>
    </row>
    <row r="124" spans="1:6" x14ac:dyDescent="0.2">
      <c r="A124" s="139" t="s">
        <v>242</v>
      </c>
      <c r="B124" s="144">
        <v>0.09</v>
      </c>
      <c r="C124" s="144"/>
      <c r="D124" s="144">
        <v>0.09</v>
      </c>
      <c r="E124" s="144">
        <v>0.09</v>
      </c>
      <c r="F124" s="141" t="s">
        <v>269</v>
      </c>
    </row>
    <row r="125" spans="1:6" x14ac:dyDescent="0.2">
      <c r="A125" s="139" t="s">
        <v>279</v>
      </c>
      <c r="B125" s="144">
        <v>0.11</v>
      </c>
      <c r="C125" s="144"/>
      <c r="D125" s="144">
        <v>0.11</v>
      </c>
      <c r="E125" s="144">
        <v>0.11</v>
      </c>
      <c r="F125" s="141" t="s">
        <v>269</v>
      </c>
    </row>
    <row r="126" spans="1:6" x14ac:dyDescent="0.2">
      <c r="A126" s="139" t="s">
        <v>302</v>
      </c>
      <c r="B126" s="228">
        <v>2</v>
      </c>
      <c r="C126" s="228"/>
      <c r="D126" s="228">
        <v>2</v>
      </c>
      <c r="E126" s="228">
        <v>2</v>
      </c>
      <c r="F126" s="141" t="s">
        <v>269</v>
      </c>
    </row>
    <row r="127" spans="1:6" x14ac:dyDescent="0.2">
      <c r="A127" s="139" t="s">
        <v>303</v>
      </c>
      <c r="B127" s="144">
        <v>0.01</v>
      </c>
      <c r="C127" s="144"/>
      <c r="D127" s="144">
        <v>0.01</v>
      </c>
      <c r="E127" s="144">
        <v>0.01</v>
      </c>
      <c r="F127" s="141" t="s">
        <v>269</v>
      </c>
    </row>
    <row r="128" spans="1:6" x14ac:dyDescent="0.2">
      <c r="A128" s="139" t="s">
        <v>272</v>
      </c>
      <c r="B128" s="228">
        <v>80</v>
      </c>
      <c r="C128" s="228"/>
      <c r="D128" s="228">
        <v>80</v>
      </c>
      <c r="E128" s="228">
        <v>80</v>
      </c>
      <c r="F128" s="141" t="s">
        <v>269</v>
      </c>
    </row>
    <row r="129" spans="1:6" x14ac:dyDescent="0.2">
      <c r="A129" s="139"/>
      <c r="B129" s="8"/>
      <c r="C129" s="8"/>
      <c r="D129" s="8"/>
      <c r="E129" s="8"/>
      <c r="F129" s="141"/>
    </row>
    <row r="130" spans="1:6" x14ac:dyDescent="0.2">
      <c r="A130" s="139" t="s">
        <v>304</v>
      </c>
      <c r="B130" s="8"/>
      <c r="C130" s="8"/>
      <c r="D130" s="8"/>
      <c r="E130" s="8"/>
      <c r="F130" s="141"/>
    </row>
    <row r="131" spans="1:6" x14ac:dyDescent="0.2">
      <c r="A131" s="139" t="s">
        <v>305</v>
      </c>
      <c r="B131" s="142">
        <v>134403.85</v>
      </c>
      <c r="C131" s="142">
        <v>0</v>
      </c>
      <c r="D131" s="142">
        <v>78979.11</v>
      </c>
      <c r="E131" s="231">
        <v>213382.96000000002</v>
      </c>
      <c r="F131" s="141" t="s">
        <v>40</v>
      </c>
    </row>
    <row r="132" spans="1:6" x14ac:dyDescent="0.2">
      <c r="A132" s="139" t="s">
        <v>301</v>
      </c>
      <c r="B132" s="228">
        <v>25</v>
      </c>
      <c r="C132" s="228"/>
      <c r="D132" s="228">
        <v>25</v>
      </c>
      <c r="E132" s="228">
        <v>25</v>
      </c>
      <c r="F132" s="141" t="s">
        <v>269</v>
      </c>
    </row>
    <row r="133" spans="1:6" x14ac:dyDescent="0.2">
      <c r="A133" s="139" t="s">
        <v>270</v>
      </c>
      <c r="B133" s="144">
        <v>0.85</v>
      </c>
      <c r="C133" s="144"/>
      <c r="D133" s="144">
        <v>0.85</v>
      </c>
      <c r="E133" s="144">
        <v>0.85</v>
      </c>
      <c r="F133" s="141" t="s">
        <v>269</v>
      </c>
    </row>
    <row r="134" spans="1:6" x14ac:dyDescent="0.2">
      <c r="A134" s="139" t="s">
        <v>242</v>
      </c>
      <c r="B134" s="144">
        <v>0.09</v>
      </c>
      <c r="C134" s="144"/>
      <c r="D134" s="144">
        <v>0.09</v>
      </c>
      <c r="E134" s="144">
        <v>0.09</v>
      </c>
      <c r="F134" s="141" t="s">
        <v>269</v>
      </c>
    </row>
    <row r="135" spans="1:6" x14ac:dyDescent="0.2">
      <c r="A135" s="139" t="s">
        <v>279</v>
      </c>
      <c r="B135" s="144">
        <v>0.11</v>
      </c>
      <c r="C135" s="144"/>
      <c r="D135" s="144">
        <v>0.11</v>
      </c>
      <c r="E135" s="144">
        <v>0.11</v>
      </c>
      <c r="F135" s="141" t="s">
        <v>269</v>
      </c>
    </row>
    <row r="136" spans="1:6" x14ac:dyDescent="0.2">
      <c r="A136" s="139" t="s">
        <v>302</v>
      </c>
      <c r="B136" s="228">
        <v>2</v>
      </c>
      <c r="C136" s="228"/>
      <c r="D136" s="228">
        <v>2</v>
      </c>
      <c r="E136" s="228">
        <v>2</v>
      </c>
      <c r="F136" s="141" t="s">
        <v>269</v>
      </c>
    </row>
    <row r="137" spans="1:6" x14ac:dyDescent="0.2">
      <c r="A137" s="146" t="s">
        <v>272</v>
      </c>
      <c r="B137" s="229">
        <v>140</v>
      </c>
      <c r="C137" s="229"/>
      <c r="D137" s="229">
        <v>140</v>
      </c>
      <c r="E137" s="229">
        <v>140</v>
      </c>
      <c r="F137" s="154" t="s">
        <v>269</v>
      </c>
    </row>
    <row r="138" spans="1:6" x14ac:dyDescent="0.2">
      <c r="B138" s="1"/>
      <c r="C138" s="1"/>
    </row>
    <row r="139" spans="1:6" x14ac:dyDescent="0.2">
      <c r="A139" s="390" t="s">
        <v>257</v>
      </c>
      <c r="B139" s="102" t="s">
        <v>226</v>
      </c>
      <c r="C139" s="105" t="s">
        <v>187</v>
      </c>
      <c r="D139" s="140" t="s">
        <v>117</v>
      </c>
      <c r="E139" s="804"/>
    </row>
    <row r="140" spans="1:6" x14ac:dyDescent="0.2">
      <c r="A140" s="227" t="s">
        <v>261</v>
      </c>
      <c r="B140" s="8" t="s">
        <v>262</v>
      </c>
      <c r="C140" s="8" t="s">
        <v>263</v>
      </c>
      <c r="D140" s="141" t="s">
        <v>264</v>
      </c>
      <c r="E140" s="804"/>
    </row>
    <row r="141" spans="1:6" x14ac:dyDescent="0.2">
      <c r="A141" s="805" t="s">
        <v>299</v>
      </c>
      <c r="B141" s="755">
        <f>'[2]Development Summary'!D543+'[2]Development Summary'!D454</f>
        <v>81</v>
      </c>
      <c r="C141" s="9"/>
      <c r="D141" s="806">
        <f>'[2]Development Summary'!D125</f>
        <v>144</v>
      </c>
    </row>
    <row r="142" spans="1:6" x14ac:dyDescent="0.2">
      <c r="A142" s="805" t="s">
        <v>304</v>
      </c>
      <c r="B142" s="755">
        <f>'[2]Development Summary'!E454+'[2]Development Summary'!E543</f>
        <v>381</v>
      </c>
      <c r="C142" s="9"/>
      <c r="D142" s="806">
        <f>'[2]Development Summary'!E125</f>
        <v>224</v>
      </c>
    </row>
    <row r="143" spans="1:6" x14ac:dyDescent="0.2">
      <c r="A143" s="146" t="s">
        <v>40</v>
      </c>
      <c r="B143" s="644">
        <f>SUM(B141:B142)</f>
        <v>462</v>
      </c>
      <c r="C143" s="644">
        <f>SUM(C141:C142)</f>
        <v>0</v>
      </c>
      <c r="D143" s="807">
        <f>SUM(D141:D142)</f>
        <v>368</v>
      </c>
      <c r="E143" s="3"/>
      <c r="F143" s="3"/>
    </row>
    <row r="144" spans="1:6" x14ac:dyDescent="0.2">
      <c r="B144" s="1"/>
      <c r="C144" s="1"/>
    </row>
    <row r="145" s="1" customFormat="1" x14ac:dyDescent="0.2"/>
  </sheetData>
  <phoneticPr fontId="3" type="noConversion"/>
  <pageMargins left="0.25" right="0.25" top="0.75" bottom="0.75" header="0.3" footer="0.3"/>
  <pageSetup paperSize="3" scale="110" fitToWidth="0" fitToHeight="0" orientation="landscape" r:id="rId1"/>
  <headerFooter alignWithMargins="0">
    <oddHeader>&amp;L&amp;"Arial,Bold"6. Income Statement: Office/Commercial&amp;CTEAM :2021-1920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"/>
  <sheetViews>
    <sheetView view="pageLayout" topLeftCell="A25" zoomScaleNormal="100" workbookViewId="0">
      <selection activeCell="B2" sqref="B2"/>
    </sheetView>
  </sheetViews>
  <sheetFormatPr defaultColWidth="9.140625" defaultRowHeight="12.75" x14ac:dyDescent="0.2"/>
  <cols>
    <col min="1" max="1" width="23.140625" style="1" customWidth="1"/>
    <col min="2" max="3" width="8.5703125" style="3" customWidth="1"/>
    <col min="4" max="13" width="8.5703125" style="1" customWidth="1"/>
    <col min="14" max="16384" width="9.140625" style="1"/>
  </cols>
  <sheetData>
    <row r="1" spans="1:13" ht="14.1" customHeight="1" x14ac:dyDescent="0.2">
      <c r="A1" s="89"/>
      <c r="B1" s="89"/>
      <c r="C1" s="88"/>
      <c r="D1" s="90"/>
      <c r="E1" s="90"/>
      <c r="F1" s="90"/>
      <c r="G1" s="90"/>
      <c r="H1" s="90"/>
      <c r="I1" s="90"/>
      <c r="J1" s="90"/>
      <c r="K1" s="90"/>
      <c r="L1" s="86" t="s">
        <v>1</v>
      </c>
      <c r="M1" s="87"/>
    </row>
    <row r="2" spans="1:13" ht="14.1" customHeight="1" x14ac:dyDescent="0.2"/>
    <row r="3" spans="1:13" ht="14.1" customHeight="1" x14ac:dyDescent="0.2">
      <c r="B3" s="63"/>
      <c r="C3" s="63" t="s">
        <v>2</v>
      </c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14.1" customHeight="1" x14ac:dyDescent="0.2">
      <c r="A4" s="5"/>
      <c r="B4" s="64" t="s">
        <v>58</v>
      </c>
      <c r="C4" s="81" t="s">
        <v>4</v>
      </c>
      <c r="D4" s="64">
        <v>2023</v>
      </c>
      <c r="E4" s="64">
        <f t="shared" ref="E4:M4" si="0">D4+1</f>
        <v>2024</v>
      </c>
      <c r="F4" s="64">
        <f t="shared" si="0"/>
        <v>2025</v>
      </c>
      <c r="G4" s="64">
        <f t="shared" si="0"/>
        <v>2026</v>
      </c>
      <c r="H4" s="64">
        <f t="shared" si="0"/>
        <v>2027</v>
      </c>
      <c r="I4" s="64">
        <f t="shared" si="0"/>
        <v>2028</v>
      </c>
      <c r="J4" s="64">
        <f t="shared" si="0"/>
        <v>2029</v>
      </c>
      <c r="K4" s="64">
        <f t="shared" si="0"/>
        <v>2030</v>
      </c>
      <c r="L4" s="64">
        <f t="shared" si="0"/>
        <v>2031</v>
      </c>
      <c r="M4" s="64">
        <f t="shared" si="0"/>
        <v>2032</v>
      </c>
    </row>
    <row r="5" spans="1:13" ht="18" customHeight="1" x14ac:dyDescent="0.2">
      <c r="A5" s="10" t="s">
        <v>78</v>
      </c>
      <c r="B5" s="6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4.1" customHeight="1" x14ac:dyDescent="0.2">
      <c r="A6" s="91" t="s">
        <v>59</v>
      </c>
      <c r="B6" s="29">
        <v>0.02</v>
      </c>
      <c r="C6" s="29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4.1" customHeight="1" x14ac:dyDescent="0.2">
      <c r="A7" s="91" t="s">
        <v>90</v>
      </c>
      <c r="B7" s="56"/>
      <c r="C7" s="56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4.1" customHeight="1" x14ac:dyDescent="0.2">
      <c r="A8" s="91" t="s">
        <v>69</v>
      </c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4.1" customHeight="1" x14ac:dyDescent="0.2">
      <c r="A9" s="91" t="s">
        <v>81</v>
      </c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4.1" customHeight="1" x14ac:dyDescent="0.2">
      <c r="A10" s="17" t="s">
        <v>82</v>
      </c>
      <c r="B10" s="31"/>
      <c r="C10" s="31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8" customHeight="1" x14ac:dyDescent="0.2">
      <c r="A11" s="10" t="s">
        <v>5</v>
      </c>
      <c r="B11" s="56"/>
      <c r="C11" s="56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4.1" customHeight="1" x14ac:dyDescent="0.2">
      <c r="A12" s="91" t="s">
        <v>83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4.1" customHeight="1" x14ac:dyDescent="0.2">
      <c r="A13" s="91" t="s">
        <v>84</v>
      </c>
      <c r="B13" s="29"/>
      <c r="C13" s="29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4.1" customHeight="1" x14ac:dyDescent="0.2">
      <c r="A14" s="27" t="s">
        <v>85</v>
      </c>
      <c r="B14" s="30"/>
      <c r="C14" s="30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4.1" customHeight="1" x14ac:dyDescent="0.2">
      <c r="A15" s="92" t="s">
        <v>21</v>
      </c>
      <c r="B15" s="31"/>
      <c r="C15" s="31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8" customHeight="1" x14ac:dyDescent="0.2">
      <c r="A16" s="55" t="s">
        <v>86</v>
      </c>
      <c r="B16" s="57"/>
      <c r="C16" s="57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ht="18" customHeight="1" x14ac:dyDescent="0.2">
      <c r="A17" s="10" t="s">
        <v>15</v>
      </c>
      <c r="B17" s="56"/>
      <c r="C17" s="56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4.1" customHeight="1" x14ac:dyDescent="0.2">
      <c r="A18" s="91" t="s">
        <v>75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4.1" customHeight="1" x14ac:dyDescent="0.2">
      <c r="A19" s="91" t="s">
        <v>15</v>
      </c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1" customHeight="1" x14ac:dyDescent="0.2">
      <c r="A20" s="91" t="s">
        <v>52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1" customHeight="1" x14ac:dyDescent="0.2">
      <c r="A21" s="92" t="s">
        <v>19</v>
      </c>
      <c r="B21" s="31"/>
      <c r="C21" s="31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8" customHeight="1" x14ac:dyDescent="0.2">
      <c r="A22" s="10" t="s">
        <v>20</v>
      </c>
      <c r="B22" s="56"/>
      <c r="C22" s="56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4.1" customHeight="1" x14ac:dyDescent="0.2">
      <c r="A23" s="91" t="s">
        <v>21</v>
      </c>
      <c r="B23" s="25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4.1" customHeight="1" x14ac:dyDescent="0.2">
      <c r="A24" s="91" t="s">
        <v>19</v>
      </c>
      <c r="B24" s="29"/>
      <c r="C24" s="29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1" customHeight="1" x14ac:dyDescent="0.2">
      <c r="A25" s="17" t="s">
        <v>24</v>
      </c>
      <c r="B25" s="69"/>
      <c r="C25" s="69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8" customHeight="1" x14ac:dyDescent="0.2">
      <c r="A26" s="10" t="s">
        <v>27</v>
      </c>
      <c r="B26" s="70"/>
      <c r="C26" s="70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8" customHeight="1" x14ac:dyDescent="0.2">
      <c r="A27" s="19" t="s">
        <v>29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8" customHeight="1" x14ac:dyDescent="0.2">
      <c r="A28" s="19" t="s">
        <v>31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</sheetData>
  <phoneticPr fontId="3" type="noConversion"/>
  <pageMargins left="0.5" right="0.5" top="1" bottom="0.5" header="0.5" footer="0.5"/>
  <pageSetup orientation="landscape" r:id="rId1"/>
  <headerFooter alignWithMargins="0">
    <oddHeader>&amp;L&amp;"Arial,Bold"5. Income Statement: Affordable For Sale Housing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80"/>
  <sheetViews>
    <sheetView view="pageLayout" topLeftCell="A59" zoomScale="80" zoomScaleNormal="80" zoomScalePageLayoutView="80" workbookViewId="0">
      <selection activeCell="A45" sqref="A45:F80"/>
    </sheetView>
  </sheetViews>
  <sheetFormatPr defaultColWidth="9.140625" defaultRowHeight="12.75" x14ac:dyDescent="0.2"/>
  <cols>
    <col min="1" max="1" width="23" style="1" customWidth="1"/>
    <col min="2" max="3" width="12.7109375" style="3" customWidth="1"/>
    <col min="4" max="13" width="12.7109375" style="1" customWidth="1"/>
    <col min="14" max="14" width="9.140625" style="1"/>
    <col min="15" max="15" width="18.7109375" style="1" customWidth="1"/>
    <col min="16" max="16" width="11.7109375" style="1" customWidth="1"/>
    <col min="17" max="18" width="9.28515625" style="1" bestFit="1" customWidth="1"/>
    <col min="19" max="19" width="9.85546875" style="1" bestFit="1" customWidth="1"/>
    <col min="20" max="16384" width="9.140625" style="1"/>
  </cols>
  <sheetData>
    <row r="2" spans="1:13" x14ac:dyDescent="0.2">
      <c r="A2" s="119"/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86" t="s">
        <v>119</v>
      </c>
      <c r="M2" s="87"/>
    </row>
    <row r="4" spans="1:13" x14ac:dyDescent="0.2">
      <c r="A4" s="363" t="s">
        <v>316</v>
      </c>
      <c r="B4" s="63"/>
      <c r="C4" s="158" t="s">
        <v>2</v>
      </c>
      <c r="D4" s="159" t="s">
        <v>115</v>
      </c>
      <c r="E4" s="160"/>
      <c r="F4" s="161"/>
      <c r="G4" s="162" t="s">
        <v>116</v>
      </c>
      <c r="H4" s="163"/>
      <c r="I4" s="164"/>
      <c r="J4" s="165" t="s">
        <v>117</v>
      </c>
      <c r="K4" s="166"/>
      <c r="L4" s="167"/>
      <c r="M4" s="168"/>
    </row>
    <row r="5" spans="1:13" x14ac:dyDescent="0.2">
      <c r="A5" s="52"/>
      <c r="B5" s="64" t="s">
        <v>58</v>
      </c>
      <c r="C5" s="81" t="s">
        <v>4</v>
      </c>
      <c r="D5" s="64">
        <v>2023</v>
      </c>
      <c r="E5" s="64">
        <f t="shared" ref="E5:M5" si="0">D5+1</f>
        <v>2024</v>
      </c>
      <c r="F5" s="64">
        <f t="shared" si="0"/>
        <v>2025</v>
      </c>
      <c r="G5" s="64">
        <f t="shared" si="0"/>
        <v>2026</v>
      </c>
      <c r="H5" s="64">
        <f t="shared" si="0"/>
        <v>2027</v>
      </c>
      <c r="I5" s="64">
        <f t="shared" si="0"/>
        <v>2028</v>
      </c>
      <c r="J5" s="64">
        <f t="shared" si="0"/>
        <v>2029</v>
      </c>
      <c r="K5" s="64">
        <f t="shared" si="0"/>
        <v>2030</v>
      </c>
      <c r="L5" s="64">
        <f t="shared" si="0"/>
        <v>2031</v>
      </c>
      <c r="M5" s="64">
        <f t="shared" si="0"/>
        <v>2032</v>
      </c>
    </row>
    <row r="6" spans="1:13" x14ac:dyDescent="0.2">
      <c r="A6" s="49" t="s">
        <v>78</v>
      </c>
      <c r="B6" s="65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x14ac:dyDescent="0.2">
      <c r="A7" s="26" t="s">
        <v>59</v>
      </c>
      <c r="B7" s="29">
        <v>0.02</v>
      </c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x14ac:dyDescent="0.2">
      <c r="A8" s="26" t="s">
        <v>274</v>
      </c>
      <c r="B8" s="320">
        <f>E65</f>
        <v>140558</v>
      </c>
      <c r="C8" s="178"/>
      <c r="D8" s="321">
        <f>$B$65*D28</f>
        <v>23706.6</v>
      </c>
      <c r="E8" s="321">
        <f>$B$65*E28</f>
        <v>31608.800000000003</v>
      </c>
      <c r="F8" s="321">
        <f>$B$65*F28</f>
        <v>23706.599999999995</v>
      </c>
      <c r="G8" s="321">
        <f>$C$65*G28</f>
        <v>22614.400000000005</v>
      </c>
      <c r="H8" s="321">
        <f>$C$65*H28</f>
        <v>22614.400000000005</v>
      </c>
      <c r="I8" s="321">
        <f>$C$65*I28</f>
        <v>11307.199999999999</v>
      </c>
      <c r="J8" s="321">
        <f>$D$65*J28</f>
        <v>2000</v>
      </c>
      <c r="K8" s="321">
        <f>$D$65*K28</f>
        <v>1500</v>
      </c>
      <c r="L8" s="321">
        <f>$D$65*L28</f>
        <v>1500</v>
      </c>
      <c r="M8" s="321">
        <f>$D$65*M28</f>
        <v>0</v>
      </c>
    </row>
    <row r="9" spans="1:13" x14ac:dyDescent="0.2">
      <c r="A9" s="26" t="s">
        <v>275</v>
      </c>
      <c r="B9" s="194">
        <f>E72</f>
        <v>120</v>
      </c>
      <c r="C9" s="219">
        <f>B9</f>
        <v>120</v>
      </c>
      <c r="D9" s="219">
        <f>C9*(1+$B$7)</f>
        <v>122.4</v>
      </c>
      <c r="E9" s="219">
        <f t="shared" ref="E9:M10" si="1">D9*(1+$B$7)</f>
        <v>124.84800000000001</v>
      </c>
      <c r="F9" s="219">
        <f t="shared" si="1"/>
        <v>127.34496000000001</v>
      </c>
      <c r="G9" s="219">
        <f t="shared" si="1"/>
        <v>129.89185920000003</v>
      </c>
      <c r="H9" s="219">
        <f t="shared" si="1"/>
        <v>132.48969638400004</v>
      </c>
      <c r="I9" s="219">
        <f t="shared" si="1"/>
        <v>135.13949031168005</v>
      </c>
      <c r="J9" s="219">
        <f t="shared" si="1"/>
        <v>137.84228011791365</v>
      </c>
      <c r="K9" s="219">
        <f t="shared" si="1"/>
        <v>140.59912572027193</v>
      </c>
      <c r="L9" s="219">
        <f t="shared" si="1"/>
        <v>143.41110823467736</v>
      </c>
      <c r="M9" s="219">
        <f t="shared" si="1"/>
        <v>146.27933039937091</v>
      </c>
    </row>
    <row r="10" spans="1:13" x14ac:dyDescent="0.2">
      <c r="A10" s="26" t="s">
        <v>308</v>
      </c>
      <c r="B10" s="194">
        <f>E70+8</f>
        <v>30.7</v>
      </c>
      <c r="C10" s="219">
        <f>B10</f>
        <v>30.7</v>
      </c>
      <c r="D10" s="219">
        <f>C10*(1+$B$7)</f>
        <v>31.314</v>
      </c>
      <c r="E10" s="219">
        <f t="shared" si="1"/>
        <v>31.940280000000001</v>
      </c>
      <c r="F10" s="219">
        <f t="shared" si="1"/>
        <v>32.579085599999999</v>
      </c>
      <c r="G10" s="219">
        <f t="shared" si="1"/>
        <v>33.230667312000001</v>
      </c>
      <c r="H10" s="219">
        <f t="shared" si="1"/>
        <v>33.895280658240004</v>
      </c>
      <c r="I10" s="219">
        <f t="shared" si="1"/>
        <v>34.573186271404808</v>
      </c>
      <c r="J10" s="219">
        <f t="shared" si="1"/>
        <v>35.264649996832901</v>
      </c>
      <c r="K10" s="219">
        <f t="shared" si="1"/>
        <v>35.969942996769561</v>
      </c>
      <c r="L10" s="219">
        <f t="shared" si="1"/>
        <v>36.689341856704949</v>
      </c>
      <c r="M10" s="219">
        <f t="shared" si="1"/>
        <v>37.423128693839047</v>
      </c>
    </row>
    <row r="11" spans="1:13" x14ac:dyDescent="0.2">
      <c r="A11" s="26" t="s">
        <v>324</v>
      </c>
      <c r="B11" s="194">
        <f>B55</f>
        <v>4</v>
      </c>
      <c r="C11" s="219">
        <f>B11</f>
        <v>4</v>
      </c>
      <c r="D11" s="219">
        <f>C11*(1+$B$7)</f>
        <v>4.08</v>
      </c>
      <c r="E11" s="219">
        <f t="shared" ref="E11:M13" si="2">D11*(1+$B$7)</f>
        <v>4.1616</v>
      </c>
      <c r="F11" s="219">
        <f t="shared" si="2"/>
        <v>4.2448319999999997</v>
      </c>
      <c r="G11" s="219">
        <f t="shared" si="2"/>
        <v>4.3297286399999999</v>
      </c>
      <c r="H11" s="219">
        <f t="shared" si="2"/>
        <v>4.4163232128000001</v>
      </c>
      <c r="I11" s="219">
        <f t="shared" si="2"/>
        <v>4.5046496770560003</v>
      </c>
      <c r="J11" s="219">
        <f t="shared" si="2"/>
        <v>4.5947426705971202</v>
      </c>
      <c r="K11" s="219">
        <f t="shared" si="2"/>
        <v>4.686637524009063</v>
      </c>
      <c r="L11" s="219">
        <f t="shared" si="2"/>
        <v>4.7803702744892442</v>
      </c>
      <c r="M11" s="219">
        <f t="shared" si="2"/>
        <v>4.8759776799790293</v>
      </c>
    </row>
    <row r="12" spans="1:13" x14ac:dyDescent="0.2">
      <c r="A12" s="26" t="s">
        <v>87</v>
      </c>
      <c r="B12" s="56" t="s">
        <v>39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x14ac:dyDescent="0.2">
      <c r="A13" s="26" t="s">
        <v>309</v>
      </c>
      <c r="B13" s="194">
        <f>B57</f>
        <v>6</v>
      </c>
      <c r="C13" s="219">
        <f>B13</f>
        <v>6</v>
      </c>
      <c r="D13" s="219">
        <f>C13*(1+$B$7)</f>
        <v>6.12</v>
      </c>
      <c r="E13" s="219">
        <f t="shared" si="2"/>
        <v>6.2423999999999999</v>
      </c>
      <c r="F13" s="219">
        <f t="shared" si="2"/>
        <v>6.367248</v>
      </c>
      <c r="G13" s="219">
        <f t="shared" si="2"/>
        <v>6.4945929600000003</v>
      </c>
      <c r="H13" s="219">
        <f t="shared" si="2"/>
        <v>6.6244848192000001</v>
      </c>
      <c r="I13" s="219">
        <f t="shared" si="2"/>
        <v>6.756974515584</v>
      </c>
      <c r="J13" s="219">
        <f t="shared" si="2"/>
        <v>6.8921140058956798</v>
      </c>
      <c r="K13" s="219">
        <f t="shared" si="2"/>
        <v>7.0299562860135936</v>
      </c>
      <c r="L13" s="219">
        <f t="shared" si="2"/>
        <v>7.1705554117338659</v>
      </c>
      <c r="M13" s="219">
        <f t="shared" si="2"/>
        <v>7.3139665199685435</v>
      </c>
    </row>
    <row r="14" spans="1:13" s="36" customFormat="1" x14ac:dyDescent="0.2">
      <c r="A14" s="26" t="s">
        <v>70</v>
      </c>
      <c r="B14" s="181">
        <f>E69-7%</f>
        <v>0.86055555555555574</v>
      </c>
      <c r="C14" s="321">
        <f>$B$14*C8</f>
        <v>0</v>
      </c>
      <c r="D14" s="321">
        <f t="shared" ref="D14:M14" si="3">$B$14*D8</f>
        <v>20400.846333333335</v>
      </c>
      <c r="E14" s="321">
        <f t="shared" si="3"/>
        <v>27201.128444444454</v>
      </c>
      <c r="F14" s="321">
        <f t="shared" si="3"/>
        <v>20400.846333333335</v>
      </c>
      <c r="G14" s="321">
        <f t="shared" si="3"/>
        <v>19460.947555555565</v>
      </c>
      <c r="H14" s="321">
        <f t="shared" si="3"/>
        <v>19460.947555555565</v>
      </c>
      <c r="I14" s="321">
        <f t="shared" si="3"/>
        <v>9730.4737777777791</v>
      </c>
      <c r="J14" s="321">
        <f t="shared" si="3"/>
        <v>1721.1111111111115</v>
      </c>
      <c r="K14" s="321">
        <f t="shared" si="3"/>
        <v>1290.8333333333337</v>
      </c>
      <c r="L14" s="321">
        <f t="shared" si="3"/>
        <v>1290.8333333333337</v>
      </c>
      <c r="M14" s="321">
        <f t="shared" si="3"/>
        <v>0</v>
      </c>
    </row>
    <row r="15" spans="1:13" x14ac:dyDescent="0.2">
      <c r="A15" s="26" t="s">
        <v>291</v>
      </c>
      <c r="B15" s="181"/>
      <c r="C15" s="321">
        <f>C14</f>
        <v>0</v>
      </c>
      <c r="D15" s="321">
        <f>C15+D14</f>
        <v>20400.846333333335</v>
      </c>
      <c r="E15" s="321">
        <f t="shared" ref="E15:M15" si="4">D15+E14</f>
        <v>47601.974777777788</v>
      </c>
      <c r="F15" s="321">
        <f t="shared" si="4"/>
        <v>68002.821111111116</v>
      </c>
      <c r="G15" s="321">
        <f t="shared" si="4"/>
        <v>87463.768666666685</v>
      </c>
      <c r="H15" s="321">
        <f t="shared" si="4"/>
        <v>106924.71622222225</v>
      </c>
      <c r="I15" s="321">
        <f t="shared" si="4"/>
        <v>116655.19000000003</v>
      </c>
      <c r="J15" s="321">
        <f t="shared" si="4"/>
        <v>118376.30111111114</v>
      </c>
      <c r="K15" s="321">
        <f t="shared" si="4"/>
        <v>119667.13444444447</v>
      </c>
      <c r="L15" s="321">
        <f t="shared" si="4"/>
        <v>120957.9677777778</v>
      </c>
      <c r="M15" s="321">
        <f t="shared" si="4"/>
        <v>120957.9677777778</v>
      </c>
    </row>
    <row r="16" spans="1:13" x14ac:dyDescent="0.2">
      <c r="A16" s="26" t="s">
        <v>88</v>
      </c>
      <c r="B16" s="77">
        <f>D73+3%</f>
        <v>7.4999999999999997E-2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</row>
    <row r="17" spans="1:14" x14ac:dyDescent="0.2">
      <c r="A17" s="42" t="s">
        <v>91</v>
      </c>
      <c r="B17" s="61"/>
      <c r="C17" s="235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4" x14ac:dyDescent="0.2">
      <c r="A18" s="49" t="s">
        <v>5</v>
      </c>
      <c r="B18" s="5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4" x14ac:dyDescent="0.2">
      <c r="A19" s="26" t="s">
        <v>89</v>
      </c>
      <c r="B19" s="25"/>
      <c r="C19" s="255">
        <f>C15*C10</f>
        <v>0</v>
      </c>
      <c r="D19" s="38">
        <f t="shared" ref="D19:M19" si="5">D15*D10</f>
        <v>638832.102082</v>
      </c>
      <c r="E19" s="38">
        <f t="shared" si="5"/>
        <v>1520420.4029551605</v>
      </c>
      <c r="F19" s="38">
        <f t="shared" si="5"/>
        <v>2215469.7300203759</v>
      </c>
      <c r="G19" s="38">
        <f t="shared" si="5"/>
        <v>2906479.3984157303</v>
      </c>
      <c r="H19" s="38">
        <f t="shared" si="5"/>
        <v>3624243.2656548913</v>
      </c>
      <c r="I19" s="38">
        <f t="shared" si="5"/>
        <v>4033141.6133961207</v>
      </c>
      <c r="J19" s="38">
        <f t="shared" si="5"/>
        <v>4174498.8266030359</v>
      </c>
      <c r="K19" s="38">
        <f t="shared" si="5"/>
        <v>4304420.004553427</v>
      </c>
      <c r="L19" s="38">
        <f t="shared" si="5"/>
        <v>4437868.2300911918</v>
      </c>
      <c r="M19" s="38">
        <f t="shared" si="5"/>
        <v>4526625.5946930153</v>
      </c>
    </row>
    <row r="20" spans="1:14" ht="25.5" x14ac:dyDescent="0.2">
      <c r="A20" s="62" t="s">
        <v>504</v>
      </c>
      <c r="B20" s="35"/>
      <c r="C20" s="255">
        <f>C15*C11</f>
        <v>0</v>
      </c>
      <c r="D20" s="254">
        <f>D15*D11*-1</f>
        <v>-83235.453040000008</v>
      </c>
      <c r="E20" s="254">
        <f t="shared" ref="E20:M20" si="6">E15*E11*-1</f>
        <v>-198100.37823520004</v>
      </c>
      <c r="F20" s="254">
        <f t="shared" si="6"/>
        <v>-288660.55114271998</v>
      </c>
      <c r="G20" s="254">
        <f t="shared" si="6"/>
        <v>-378694.38415840134</v>
      </c>
      <c r="H20" s="254">
        <f t="shared" si="6"/>
        <v>-472214.10627425287</v>
      </c>
      <c r="I20" s="254">
        <f t="shared" si="6"/>
        <v>-525490.76396040653</v>
      </c>
      <c r="J20" s="254">
        <f t="shared" si="6"/>
        <v>-543908.64190267562</v>
      </c>
      <c r="K20" s="254">
        <f t="shared" si="6"/>
        <v>-560836.4826779709</v>
      </c>
      <c r="L20" s="254">
        <f t="shared" si="6"/>
        <v>-578223.87362751679</v>
      </c>
      <c r="M20" s="254">
        <f t="shared" si="6"/>
        <v>-589788.35110006714</v>
      </c>
    </row>
    <row r="21" spans="1:14" x14ac:dyDescent="0.2">
      <c r="A21" s="239" t="s">
        <v>311</v>
      </c>
      <c r="B21" s="253"/>
      <c r="C21" s="255">
        <f>$B$21*C15</f>
        <v>0</v>
      </c>
      <c r="D21" s="41">
        <f>D13*D15</f>
        <v>124853.17956</v>
      </c>
      <c r="E21" s="41">
        <f t="shared" ref="E21:M21" si="7">E13*E15</f>
        <v>297150.56735280005</v>
      </c>
      <c r="F21" s="41">
        <f t="shared" si="7"/>
        <v>432990.82671408006</v>
      </c>
      <c r="G21" s="41">
        <f t="shared" si="7"/>
        <v>568041.57623760204</v>
      </c>
      <c r="H21" s="41">
        <f t="shared" si="7"/>
        <v>708321.15941137925</v>
      </c>
      <c r="I21" s="41">
        <f t="shared" si="7"/>
        <v>788236.14594060974</v>
      </c>
      <c r="J21" s="41">
        <f t="shared" si="7"/>
        <v>815862.96285401343</v>
      </c>
      <c r="K21" s="41">
        <f t="shared" si="7"/>
        <v>841254.72401695617</v>
      </c>
      <c r="L21" s="41">
        <f t="shared" si="7"/>
        <v>867335.81044127513</v>
      </c>
      <c r="M21" s="41">
        <f t="shared" si="7"/>
        <v>884682.52665010071</v>
      </c>
    </row>
    <row r="22" spans="1:14" x14ac:dyDescent="0.2">
      <c r="A22" s="239" t="s">
        <v>279</v>
      </c>
      <c r="B22" s="323">
        <f>B16</f>
        <v>7.4999999999999997E-2</v>
      </c>
      <c r="C22" s="255">
        <f>-1*(C19*$B$22)</f>
        <v>0</v>
      </c>
      <c r="D22" s="41">
        <f t="shared" ref="D22:M22" si="8">-1*(D19*$B$22)</f>
        <v>-47912.407656149997</v>
      </c>
      <c r="E22" s="41">
        <f t="shared" si="8"/>
        <v>-114031.53022163703</v>
      </c>
      <c r="F22" s="41">
        <f t="shared" si="8"/>
        <v>-166160.22975152818</v>
      </c>
      <c r="G22" s="41">
        <f t="shared" si="8"/>
        <v>-217985.95488117976</v>
      </c>
      <c r="H22" s="41">
        <f t="shared" si="8"/>
        <v>-271818.24492411682</v>
      </c>
      <c r="I22" s="41">
        <f t="shared" si="8"/>
        <v>-302485.62100470904</v>
      </c>
      <c r="J22" s="41">
        <f t="shared" si="8"/>
        <v>-313087.41199522768</v>
      </c>
      <c r="K22" s="41">
        <f t="shared" si="8"/>
        <v>-322831.50034150702</v>
      </c>
      <c r="L22" s="41">
        <f t="shared" si="8"/>
        <v>-332840.11725683935</v>
      </c>
      <c r="M22" s="41">
        <f t="shared" si="8"/>
        <v>-339496.91960197611</v>
      </c>
    </row>
    <row r="23" spans="1:14" x14ac:dyDescent="0.2">
      <c r="A23" s="239" t="s">
        <v>313</v>
      </c>
      <c r="B23" s="253">
        <f>B60-5</f>
        <v>20</v>
      </c>
      <c r="C23" s="255">
        <f>-1*$B$23*C15</f>
        <v>0</v>
      </c>
      <c r="D23" s="41">
        <f>-1*$B$23*D15</f>
        <v>-408016.9266666667</v>
      </c>
      <c r="E23" s="41">
        <f t="shared" ref="E23:M23" si="9">-1*$B$23*E15</f>
        <v>-952039.4955555558</v>
      </c>
      <c r="F23" s="41">
        <f t="shared" si="9"/>
        <v>-1360056.4222222222</v>
      </c>
      <c r="G23" s="41">
        <f t="shared" si="9"/>
        <v>-1749275.3733333338</v>
      </c>
      <c r="H23" s="41">
        <f t="shared" si="9"/>
        <v>-2138494.3244444449</v>
      </c>
      <c r="I23" s="41">
        <f t="shared" si="9"/>
        <v>-2333103.8000000007</v>
      </c>
      <c r="J23" s="41">
        <f t="shared" si="9"/>
        <v>-2367526.0222222228</v>
      </c>
      <c r="K23" s="41">
        <f t="shared" si="9"/>
        <v>-2393342.6888888893</v>
      </c>
      <c r="L23" s="41">
        <f t="shared" si="9"/>
        <v>-2419159.3555555558</v>
      </c>
      <c r="M23" s="41">
        <f t="shared" si="9"/>
        <v>-2419159.3555555558</v>
      </c>
      <c r="N23" s="41"/>
    </row>
    <row r="24" spans="1:14" x14ac:dyDescent="0.2">
      <c r="A24" s="239" t="s">
        <v>314</v>
      </c>
      <c r="B24" s="323"/>
      <c r="C24" s="255">
        <f t="shared" ref="C24:M24" si="10">$B$59*$B$58*-1*C15</f>
        <v>0</v>
      </c>
      <c r="D24" s="41">
        <f t="shared" si="10"/>
        <v>-12240.507800000001</v>
      </c>
      <c r="E24" s="41">
        <f t="shared" si="10"/>
        <v>-28561.184866666674</v>
      </c>
      <c r="F24" s="41">
        <f t="shared" si="10"/>
        <v>-40801.69266666667</v>
      </c>
      <c r="G24" s="41">
        <f t="shared" si="10"/>
        <v>-52478.261200000008</v>
      </c>
      <c r="H24" s="41">
        <f t="shared" si="10"/>
        <v>-64154.829733333347</v>
      </c>
      <c r="I24" s="41">
        <f t="shared" si="10"/>
        <v>-69993.114000000016</v>
      </c>
      <c r="J24" s="41">
        <f t="shared" si="10"/>
        <v>-71025.780666666687</v>
      </c>
      <c r="K24" s="41">
        <f t="shared" si="10"/>
        <v>-71800.280666666673</v>
      </c>
      <c r="L24" s="41">
        <f t="shared" si="10"/>
        <v>-72574.780666666673</v>
      </c>
      <c r="M24" s="41">
        <f t="shared" si="10"/>
        <v>-72574.780666666673</v>
      </c>
    </row>
    <row r="25" spans="1:14" x14ac:dyDescent="0.2">
      <c r="A25" s="239" t="s">
        <v>249</v>
      </c>
      <c r="B25" s="40">
        <f>B49</f>
        <v>0.05</v>
      </c>
      <c r="C25" s="255">
        <f t="shared" ref="C25:M25" si="11">$B$25*-1*C19</f>
        <v>0</v>
      </c>
      <c r="D25" s="41">
        <f t="shared" si="11"/>
        <v>-31941.605104100003</v>
      </c>
      <c r="E25" s="41">
        <f t="shared" si="11"/>
        <v>-76021.020147758027</v>
      </c>
      <c r="F25" s="41">
        <f t="shared" si="11"/>
        <v>-110773.48650101881</v>
      </c>
      <c r="G25" s="41">
        <f t="shared" si="11"/>
        <v>-145323.96992078653</v>
      </c>
      <c r="H25" s="41">
        <f t="shared" si="11"/>
        <v>-181212.16328274459</v>
      </c>
      <c r="I25" s="41">
        <f t="shared" si="11"/>
        <v>-201657.08066980605</v>
      </c>
      <c r="J25" s="41">
        <f t="shared" si="11"/>
        <v>-208724.94133015181</v>
      </c>
      <c r="K25" s="41">
        <f t="shared" si="11"/>
        <v>-215221.00022767135</v>
      </c>
      <c r="L25" s="41">
        <f t="shared" si="11"/>
        <v>-221893.4115045596</v>
      </c>
      <c r="M25" s="41">
        <f t="shared" si="11"/>
        <v>-226331.27973465077</v>
      </c>
    </row>
    <row r="26" spans="1:14" x14ac:dyDescent="0.2">
      <c r="A26" s="68" t="s">
        <v>21</v>
      </c>
      <c r="B26" s="31"/>
      <c r="C26" s="176">
        <f t="shared" ref="C26:M26" si="12">SUM(C19:C25)</f>
        <v>0</v>
      </c>
      <c r="D26" s="37">
        <f t="shared" si="12"/>
        <v>180338.38137508329</v>
      </c>
      <c r="E26" s="37">
        <f t="shared" si="12"/>
        <v>448817.36128114309</v>
      </c>
      <c r="F26" s="37">
        <f t="shared" si="12"/>
        <v>682008.17445030017</v>
      </c>
      <c r="G26" s="37">
        <f t="shared" si="12"/>
        <v>930763.03115963121</v>
      </c>
      <c r="H26" s="37">
        <f t="shared" si="12"/>
        <v>1204670.756407378</v>
      </c>
      <c r="I26" s="37">
        <f t="shared" si="12"/>
        <v>1388647.3797018083</v>
      </c>
      <c r="J26" s="37">
        <f t="shared" si="12"/>
        <v>1486088.9913401057</v>
      </c>
      <c r="K26" s="37">
        <f t="shared" si="12"/>
        <v>1581642.7757676782</v>
      </c>
      <c r="L26" s="37">
        <f t="shared" si="12"/>
        <v>1680512.5019213287</v>
      </c>
      <c r="M26" s="37">
        <f t="shared" si="12"/>
        <v>1763957.4346841995</v>
      </c>
    </row>
    <row r="27" spans="1:14" x14ac:dyDescent="0.2">
      <c r="A27" s="49" t="s">
        <v>15</v>
      </c>
      <c r="B27" s="5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4" x14ac:dyDescent="0.2">
      <c r="A28" s="26" t="s">
        <v>75</v>
      </c>
      <c r="B28" s="25"/>
      <c r="D28" s="322">
        <v>0.3</v>
      </c>
      <c r="E28" s="322">
        <v>0.4</v>
      </c>
      <c r="F28" s="322">
        <f>1-D28-E28</f>
        <v>0.29999999999999993</v>
      </c>
      <c r="G28" s="322">
        <v>0.4</v>
      </c>
      <c r="H28" s="322">
        <v>0.4</v>
      </c>
      <c r="I28" s="322">
        <f>1-G28-H28</f>
        <v>0.19999999999999996</v>
      </c>
      <c r="J28" s="322">
        <v>0.4</v>
      </c>
      <c r="K28" s="322">
        <v>0.3</v>
      </c>
      <c r="L28" s="322">
        <v>0.3</v>
      </c>
      <c r="M28" s="322">
        <f>1-K28-L28-J28</f>
        <v>0</v>
      </c>
    </row>
    <row r="29" spans="1:14" x14ac:dyDescent="0.2">
      <c r="A29" s="26" t="s">
        <v>290</v>
      </c>
      <c r="B29" s="25"/>
      <c r="C29" s="26"/>
      <c r="D29" s="169">
        <f>D28</f>
        <v>0.3</v>
      </c>
      <c r="E29" s="169">
        <f>D29+E28</f>
        <v>0.7</v>
      </c>
      <c r="F29" s="169">
        <f>E29+F28</f>
        <v>0.99999999999999989</v>
      </c>
      <c r="G29" s="169">
        <f>G28</f>
        <v>0.4</v>
      </c>
      <c r="H29" s="169">
        <f>G29+H28</f>
        <v>0.8</v>
      </c>
      <c r="I29" s="169">
        <f>H29+I28</f>
        <v>1</v>
      </c>
      <c r="J29" s="169">
        <f>J28</f>
        <v>0.4</v>
      </c>
      <c r="K29" s="169">
        <f>J29+K28</f>
        <v>0.7</v>
      </c>
      <c r="L29" s="169">
        <f>K29+L28</f>
        <v>1</v>
      </c>
      <c r="M29" s="169">
        <f>L29+M28</f>
        <v>1</v>
      </c>
    </row>
    <row r="30" spans="1:14" x14ac:dyDescent="0.2">
      <c r="A30" s="26" t="s">
        <v>15</v>
      </c>
      <c r="B30" s="25"/>
      <c r="C30" s="26"/>
      <c r="D30" s="254">
        <f t="shared" ref="D30:M30" si="13">D8*$D$9*-1</f>
        <v>-2901687.84</v>
      </c>
      <c r="E30" s="254">
        <f t="shared" si="13"/>
        <v>-3868917.1200000006</v>
      </c>
      <c r="F30" s="254">
        <f t="shared" si="13"/>
        <v>-2901687.8399999994</v>
      </c>
      <c r="G30" s="254">
        <f t="shared" si="13"/>
        <v>-2768002.5600000005</v>
      </c>
      <c r="H30" s="254">
        <f t="shared" si="13"/>
        <v>-2768002.5600000005</v>
      </c>
      <c r="I30" s="254">
        <f t="shared" si="13"/>
        <v>-1384001.28</v>
      </c>
      <c r="J30" s="254">
        <f t="shared" si="13"/>
        <v>-244800</v>
      </c>
      <c r="K30" s="254">
        <f t="shared" si="13"/>
        <v>-183600</v>
      </c>
      <c r="L30" s="254">
        <f t="shared" si="13"/>
        <v>-183600</v>
      </c>
      <c r="M30" s="254">
        <f t="shared" si="13"/>
        <v>0</v>
      </c>
    </row>
    <row r="31" spans="1:14" x14ac:dyDescent="0.2">
      <c r="A31" s="26" t="s">
        <v>118</v>
      </c>
      <c r="B31" s="29">
        <v>0.2</v>
      </c>
      <c r="C31" s="26"/>
      <c r="D31" s="254">
        <f>$B$31*D30</f>
        <v>-580337.56799999997</v>
      </c>
      <c r="E31" s="254">
        <f t="shared" ref="E31:M31" si="14">$B$31*E30</f>
        <v>-773783.42400000012</v>
      </c>
      <c r="F31" s="254">
        <f t="shared" si="14"/>
        <v>-580337.56799999985</v>
      </c>
      <c r="G31" s="254">
        <f t="shared" si="14"/>
        <v>-553600.5120000001</v>
      </c>
      <c r="H31" s="254">
        <f t="shared" si="14"/>
        <v>-553600.5120000001</v>
      </c>
      <c r="I31" s="254">
        <f t="shared" si="14"/>
        <v>-276800.25599999999</v>
      </c>
      <c r="J31" s="254">
        <f t="shared" si="14"/>
        <v>-48960</v>
      </c>
      <c r="K31" s="254">
        <f t="shared" si="14"/>
        <v>-36720</v>
      </c>
      <c r="L31" s="254">
        <f t="shared" si="14"/>
        <v>-36720</v>
      </c>
      <c r="M31" s="254">
        <f t="shared" si="14"/>
        <v>0</v>
      </c>
    </row>
    <row r="32" spans="1:14" x14ac:dyDescent="0.2">
      <c r="A32" s="26" t="s">
        <v>52</v>
      </c>
      <c r="B32" s="25"/>
      <c r="C32" s="26"/>
      <c r="D32" s="254"/>
      <c r="E32" s="254"/>
      <c r="F32" s="254"/>
      <c r="G32" s="254"/>
      <c r="H32" s="254"/>
      <c r="I32" s="254"/>
      <c r="J32" s="254"/>
      <c r="K32" s="254"/>
      <c r="L32" s="254"/>
      <c r="M32" s="254"/>
    </row>
    <row r="33" spans="1:13" x14ac:dyDescent="0.2">
      <c r="A33" s="68" t="s">
        <v>19</v>
      </c>
      <c r="B33" s="31"/>
      <c r="C33" s="42"/>
      <c r="D33" s="37">
        <f>SUM(D30:D32)</f>
        <v>-3482025.4079999998</v>
      </c>
      <c r="E33" s="37">
        <f t="shared" ref="E33:M33" si="15">SUM(E30:E32)</f>
        <v>-4642700.5440000007</v>
      </c>
      <c r="F33" s="37">
        <f t="shared" si="15"/>
        <v>-3482025.4079999994</v>
      </c>
      <c r="G33" s="37">
        <f t="shared" si="15"/>
        <v>-3321603.0720000006</v>
      </c>
      <c r="H33" s="37">
        <f t="shared" si="15"/>
        <v>-3321603.0720000006</v>
      </c>
      <c r="I33" s="37">
        <f t="shared" si="15"/>
        <v>-1660801.5360000001</v>
      </c>
      <c r="J33" s="37">
        <f t="shared" si="15"/>
        <v>-293760</v>
      </c>
      <c r="K33" s="37">
        <f t="shared" si="15"/>
        <v>-220320</v>
      </c>
      <c r="L33" s="37">
        <f t="shared" si="15"/>
        <v>-220320</v>
      </c>
      <c r="M33" s="37">
        <f t="shared" si="15"/>
        <v>0</v>
      </c>
    </row>
    <row r="34" spans="1:13" x14ac:dyDescent="0.2">
      <c r="A34" s="49" t="s">
        <v>20</v>
      </c>
      <c r="B34" s="5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">
      <c r="A35" s="26" t="s">
        <v>21</v>
      </c>
      <c r="B35" s="28"/>
      <c r="C35" s="175">
        <f>C26</f>
        <v>0</v>
      </c>
      <c r="D35" s="175">
        <f t="shared" ref="D35:M35" si="16">D26</f>
        <v>180338.38137508329</v>
      </c>
      <c r="E35" s="175">
        <f t="shared" si="16"/>
        <v>448817.36128114309</v>
      </c>
      <c r="F35" s="175">
        <f t="shared" si="16"/>
        <v>682008.17445030017</v>
      </c>
      <c r="G35" s="175">
        <f t="shared" si="16"/>
        <v>930763.03115963121</v>
      </c>
      <c r="H35" s="175">
        <f t="shared" si="16"/>
        <v>1204670.756407378</v>
      </c>
      <c r="I35" s="175">
        <f t="shared" si="16"/>
        <v>1388647.3797018083</v>
      </c>
      <c r="J35" s="175">
        <f t="shared" si="16"/>
        <v>1486088.9913401057</v>
      </c>
      <c r="K35" s="175">
        <f t="shared" si="16"/>
        <v>1581642.7757676782</v>
      </c>
      <c r="L35" s="175">
        <f t="shared" si="16"/>
        <v>1680512.5019213287</v>
      </c>
      <c r="M35" s="175">
        <f t="shared" si="16"/>
        <v>1763957.4346841995</v>
      </c>
    </row>
    <row r="36" spans="1:13" x14ac:dyDescent="0.2">
      <c r="A36" s="26" t="s">
        <v>76</v>
      </c>
      <c r="B36" s="30">
        <f>E71</f>
        <v>6.183333333333333E-2</v>
      </c>
      <c r="C36" s="73"/>
      <c r="D36" s="38"/>
      <c r="E36" s="38"/>
      <c r="F36" s="38"/>
      <c r="G36" s="38"/>
      <c r="H36" s="38"/>
      <c r="I36" s="38"/>
      <c r="J36" s="38"/>
      <c r="K36" s="38"/>
      <c r="L36" s="38"/>
      <c r="M36" s="38">
        <f>M35/B36</f>
        <v>28527613.498935841</v>
      </c>
    </row>
    <row r="37" spans="1:13" x14ac:dyDescent="0.2">
      <c r="A37" s="26" t="s">
        <v>327</v>
      </c>
      <c r="B37" s="30">
        <v>0.03</v>
      </c>
      <c r="C37" s="73"/>
      <c r="D37" s="38"/>
      <c r="E37" s="38"/>
      <c r="F37" s="38"/>
      <c r="G37" s="38"/>
      <c r="H37" s="38"/>
      <c r="I37" s="38"/>
      <c r="J37" s="38"/>
      <c r="K37" s="38"/>
      <c r="L37" s="38"/>
      <c r="M37" s="38">
        <f>M36*-1*B37</f>
        <v>-855828.40496807522</v>
      </c>
    </row>
    <row r="38" spans="1:13" x14ac:dyDescent="0.2">
      <c r="A38" s="26" t="s">
        <v>253</v>
      </c>
      <c r="B38" s="30">
        <v>0.03</v>
      </c>
      <c r="C38" s="73"/>
      <c r="D38" s="177">
        <f t="shared" ref="D38:M38" si="17">$B$38*-1*D35</f>
        <v>-5410.1514412524984</v>
      </c>
      <c r="E38" s="177">
        <f t="shared" si="17"/>
        <v>-13464.520838434293</v>
      </c>
      <c r="F38" s="177">
        <f t="shared" si="17"/>
        <v>-20460.245233509006</v>
      </c>
      <c r="G38" s="177">
        <f t="shared" si="17"/>
        <v>-27922.890934788935</v>
      </c>
      <c r="H38" s="177">
        <f t="shared" si="17"/>
        <v>-36140.122692221339</v>
      </c>
      <c r="I38" s="177">
        <f t="shared" si="17"/>
        <v>-41659.421391054246</v>
      </c>
      <c r="J38" s="177">
        <f t="shared" si="17"/>
        <v>-44582.669740203171</v>
      </c>
      <c r="K38" s="177">
        <f t="shared" si="17"/>
        <v>-47449.283273030342</v>
      </c>
      <c r="L38" s="177">
        <f t="shared" si="17"/>
        <v>-50415.37505763986</v>
      </c>
      <c r="M38" s="177">
        <f t="shared" si="17"/>
        <v>-52918.723040525983</v>
      </c>
    </row>
    <row r="39" spans="1:13" x14ac:dyDescent="0.2">
      <c r="A39" s="26" t="s">
        <v>19</v>
      </c>
      <c r="B39" s="29"/>
      <c r="C39" s="175">
        <f>C33</f>
        <v>0</v>
      </c>
      <c r="D39" s="175">
        <f t="shared" ref="D39:M39" si="18">D33</f>
        <v>-3482025.4079999998</v>
      </c>
      <c r="E39" s="175">
        <f t="shared" si="18"/>
        <v>-4642700.5440000007</v>
      </c>
      <c r="F39" s="175">
        <f t="shared" si="18"/>
        <v>-3482025.4079999994</v>
      </c>
      <c r="G39" s="175">
        <f t="shared" si="18"/>
        <v>-3321603.0720000006</v>
      </c>
      <c r="H39" s="175">
        <f t="shared" si="18"/>
        <v>-3321603.0720000006</v>
      </c>
      <c r="I39" s="175">
        <f t="shared" si="18"/>
        <v>-1660801.5360000001</v>
      </c>
      <c r="J39" s="175">
        <f t="shared" si="18"/>
        <v>-293760</v>
      </c>
      <c r="K39" s="175">
        <f t="shared" si="18"/>
        <v>-220320</v>
      </c>
      <c r="L39" s="175">
        <f t="shared" si="18"/>
        <v>-220320</v>
      </c>
      <c r="M39" s="175">
        <f t="shared" si="18"/>
        <v>0</v>
      </c>
    </row>
    <row r="40" spans="1:13" x14ac:dyDescent="0.2">
      <c r="A40" s="42" t="s">
        <v>24</v>
      </c>
      <c r="B40" s="69"/>
      <c r="C40" s="176">
        <f>SUM(C35:C39)</f>
        <v>0</v>
      </c>
      <c r="D40" s="176">
        <f>SUM(D35:D39)</f>
        <v>-3307097.1780661689</v>
      </c>
      <c r="E40" s="176">
        <f t="shared" ref="E40:M40" si="19">SUM(E35:E39)</f>
        <v>-4207347.703557292</v>
      </c>
      <c r="F40" s="176">
        <f t="shared" si="19"/>
        <v>-2820477.4787832079</v>
      </c>
      <c r="G40" s="176">
        <f t="shared" si="19"/>
        <v>-2418762.9317751583</v>
      </c>
      <c r="H40" s="176">
        <f t="shared" si="19"/>
        <v>-2153072.4382848442</v>
      </c>
      <c r="I40" s="176">
        <f t="shared" si="19"/>
        <v>-313813.57768924604</v>
      </c>
      <c r="J40" s="176">
        <f t="shared" si="19"/>
        <v>1147746.3215999026</v>
      </c>
      <c r="K40" s="176">
        <f t="shared" si="19"/>
        <v>1313873.4924946479</v>
      </c>
      <c r="L40" s="176">
        <f t="shared" si="19"/>
        <v>1409777.1268636889</v>
      </c>
      <c r="M40" s="176">
        <f t="shared" si="19"/>
        <v>29382823.805611439</v>
      </c>
    </row>
    <row r="41" spans="1:13" x14ac:dyDescent="0.2">
      <c r="A41" s="49" t="s">
        <v>27</v>
      </c>
      <c r="B41" s="221">
        <f>NPV(B48,D40:M40)</f>
        <v>12997001.693797557</v>
      </c>
      <c r="C41" s="178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x14ac:dyDescent="0.2">
      <c r="A42" s="71" t="s">
        <v>29</v>
      </c>
      <c r="B42" s="69">
        <f>IRR(D40:M40,0)</f>
        <v>0.11699360926291114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x14ac:dyDescent="0.2">
      <c r="A43" s="71" t="s">
        <v>31</v>
      </c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5" spans="1:13" x14ac:dyDescent="0.2">
      <c r="A45" s="210" t="s">
        <v>245</v>
      </c>
      <c r="B45" s="315"/>
      <c r="C45" s="1"/>
    </row>
    <row r="46" spans="1:13" x14ac:dyDescent="0.2">
      <c r="A46" s="149" t="s">
        <v>246</v>
      </c>
      <c r="B46" s="313">
        <v>0.02</v>
      </c>
      <c r="C46" s="1"/>
    </row>
    <row r="47" spans="1:13" x14ac:dyDescent="0.2">
      <c r="A47" s="139" t="s">
        <v>247</v>
      </c>
      <c r="B47" s="145">
        <v>0.1</v>
      </c>
      <c r="C47" s="1"/>
    </row>
    <row r="48" spans="1:13" x14ac:dyDescent="0.2">
      <c r="A48" s="139" t="s">
        <v>248</v>
      </c>
      <c r="B48" s="145">
        <v>0.02</v>
      </c>
      <c r="C48" s="1"/>
    </row>
    <row r="49" spans="1:6" x14ac:dyDescent="0.2">
      <c r="A49" s="139" t="s">
        <v>249</v>
      </c>
      <c r="B49" s="145">
        <v>0.05</v>
      </c>
      <c r="C49" s="1"/>
    </row>
    <row r="50" spans="1:6" x14ac:dyDescent="0.2">
      <c r="A50" s="139" t="s">
        <v>250</v>
      </c>
      <c r="B50" s="141">
        <v>0</v>
      </c>
      <c r="C50" s="1"/>
    </row>
    <row r="51" spans="1:6" x14ac:dyDescent="0.2">
      <c r="A51" s="139" t="s">
        <v>251</v>
      </c>
      <c r="B51" s="141">
        <v>1.7528999999999999</v>
      </c>
      <c r="C51" s="1" t="s">
        <v>255</v>
      </c>
    </row>
    <row r="52" spans="1:6" x14ac:dyDescent="0.2">
      <c r="A52" s="139" t="s">
        <v>85</v>
      </c>
      <c r="B52" s="145">
        <v>0.03</v>
      </c>
      <c r="C52" s="1"/>
    </row>
    <row r="53" spans="1:6" x14ac:dyDescent="0.2">
      <c r="A53" s="139" t="s">
        <v>253</v>
      </c>
      <c r="B53" s="145">
        <v>0.03</v>
      </c>
      <c r="C53" s="1"/>
    </row>
    <row r="54" spans="1:6" x14ac:dyDescent="0.2">
      <c r="A54" s="139" t="s">
        <v>254</v>
      </c>
      <c r="B54" s="145">
        <v>0.01</v>
      </c>
      <c r="C54" s="1"/>
    </row>
    <row r="55" spans="1:6" x14ac:dyDescent="0.2">
      <c r="A55" s="139" t="s">
        <v>273</v>
      </c>
      <c r="B55" s="326">
        <v>4</v>
      </c>
      <c r="C55" s="1"/>
    </row>
    <row r="56" spans="1:6" x14ac:dyDescent="0.2">
      <c r="A56" s="139" t="s">
        <v>292</v>
      </c>
      <c r="B56" s="141" t="s">
        <v>293</v>
      </c>
      <c r="C56" s="1"/>
    </row>
    <row r="57" spans="1:6" x14ac:dyDescent="0.2">
      <c r="A57" s="314" t="s">
        <v>294</v>
      </c>
      <c r="B57" s="246">
        <v>6</v>
      </c>
      <c r="C57" s="36"/>
      <c r="D57" s="36"/>
      <c r="E57" s="36"/>
      <c r="F57" s="36"/>
    </row>
    <row r="58" spans="1:6" x14ac:dyDescent="0.2">
      <c r="A58" s="139" t="s">
        <v>295</v>
      </c>
      <c r="B58" s="141">
        <v>10</v>
      </c>
      <c r="C58" s="1"/>
    </row>
    <row r="59" spans="1:6" x14ac:dyDescent="0.2">
      <c r="A59" s="139" t="s">
        <v>296</v>
      </c>
      <c r="B59" s="145">
        <v>0.06</v>
      </c>
      <c r="C59" s="1"/>
    </row>
    <row r="60" spans="1:6" x14ac:dyDescent="0.2">
      <c r="A60" s="146" t="s">
        <v>297</v>
      </c>
      <c r="B60" s="316">
        <v>25</v>
      </c>
      <c r="C60" s="1"/>
    </row>
    <row r="61" spans="1:6" x14ac:dyDescent="0.2">
      <c r="B61" s="1"/>
      <c r="C61" s="1"/>
    </row>
    <row r="62" spans="1:6" x14ac:dyDescent="0.2">
      <c r="A62" s="210" t="s">
        <v>283</v>
      </c>
      <c r="B62" s="137"/>
      <c r="C62" s="137"/>
      <c r="D62" s="138"/>
      <c r="E62" s="210"/>
      <c r="F62" s="315"/>
    </row>
    <row r="63" spans="1:6" x14ac:dyDescent="0.2">
      <c r="A63" s="149" t="s">
        <v>257</v>
      </c>
      <c r="B63" s="102" t="s">
        <v>226</v>
      </c>
      <c r="C63" s="105" t="s">
        <v>187</v>
      </c>
      <c r="D63" s="140" t="s">
        <v>117</v>
      </c>
      <c r="E63" s="211"/>
      <c r="F63" s="150"/>
    </row>
    <row r="64" spans="1:6" x14ac:dyDescent="0.2">
      <c r="A64" s="146" t="s">
        <v>261</v>
      </c>
      <c r="B64" s="5" t="s">
        <v>262</v>
      </c>
      <c r="C64" s="5" t="s">
        <v>263</v>
      </c>
      <c r="D64" s="154" t="s">
        <v>264</v>
      </c>
      <c r="E64" s="5"/>
      <c r="F64" s="154"/>
    </row>
    <row r="65" spans="1:6" x14ac:dyDescent="0.2">
      <c r="A65" s="139" t="s">
        <v>265</v>
      </c>
      <c r="B65" s="327">
        <v>79022</v>
      </c>
      <c r="C65" s="327">
        <v>56536.000000000007</v>
      </c>
      <c r="D65" s="327">
        <v>5000</v>
      </c>
      <c r="E65" s="327">
        <v>140558</v>
      </c>
      <c r="F65" s="141" t="s">
        <v>40</v>
      </c>
    </row>
    <row r="66" spans="1:6" x14ac:dyDescent="0.2">
      <c r="A66" s="139" t="s">
        <v>317</v>
      </c>
      <c r="B66" s="327">
        <v>32572.2</v>
      </c>
      <c r="C66" s="327">
        <v>11307.2</v>
      </c>
      <c r="D66" s="327">
        <v>1500</v>
      </c>
      <c r="E66" s="327">
        <v>45379.4</v>
      </c>
      <c r="F66" s="141" t="s">
        <v>40</v>
      </c>
    </row>
    <row r="67" spans="1:6" x14ac:dyDescent="0.2">
      <c r="A67" s="139" t="s">
        <v>318</v>
      </c>
      <c r="B67" s="327">
        <v>33040.799999999996</v>
      </c>
      <c r="C67" s="327">
        <v>33921.599999999999</v>
      </c>
      <c r="D67" s="327">
        <v>0</v>
      </c>
      <c r="E67" s="327">
        <v>66962.399999999994</v>
      </c>
      <c r="F67" s="141" t="s">
        <v>40</v>
      </c>
    </row>
    <row r="68" spans="1:6" x14ac:dyDescent="0.2">
      <c r="A68" s="139" t="s">
        <v>319</v>
      </c>
      <c r="B68" s="327">
        <v>13409</v>
      </c>
      <c r="C68" s="327">
        <v>11307.200000000004</v>
      </c>
      <c r="D68" s="327">
        <v>3500</v>
      </c>
      <c r="E68" s="327">
        <v>28216.200000000004</v>
      </c>
      <c r="F68" s="141" t="s">
        <v>40</v>
      </c>
    </row>
    <row r="69" spans="1:6" x14ac:dyDescent="0.2">
      <c r="A69" s="139" t="s">
        <v>270</v>
      </c>
      <c r="B69" s="328">
        <v>0.93333333333333335</v>
      </c>
      <c r="C69" s="328">
        <v>0.93333333333333346</v>
      </c>
      <c r="D69" s="328">
        <v>0.92500000000000004</v>
      </c>
      <c r="E69" s="328">
        <v>0.93055555555555569</v>
      </c>
      <c r="F69" s="141" t="s">
        <v>269</v>
      </c>
    </row>
    <row r="70" spans="1:6" x14ac:dyDescent="0.2">
      <c r="A70" s="139" t="s">
        <v>308</v>
      </c>
      <c r="B70" s="219">
        <v>21.55</v>
      </c>
      <c r="C70" s="219">
        <v>21.55</v>
      </c>
      <c r="D70" s="219">
        <v>25</v>
      </c>
      <c r="E70" s="219">
        <v>22.7</v>
      </c>
      <c r="F70" s="141" t="s">
        <v>269</v>
      </c>
    </row>
    <row r="71" spans="1:6" x14ac:dyDescent="0.2">
      <c r="A71" s="139" t="s">
        <v>242</v>
      </c>
      <c r="B71" s="328">
        <v>6.2000000000000006E-2</v>
      </c>
      <c r="C71" s="328">
        <v>6.2E-2</v>
      </c>
      <c r="D71" s="328">
        <v>6.1499999999999999E-2</v>
      </c>
      <c r="E71" s="328">
        <v>6.183333333333333E-2</v>
      </c>
      <c r="F71" s="141" t="s">
        <v>269</v>
      </c>
    </row>
    <row r="72" spans="1:6" x14ac:dyDescent="0.2">
      <c r="A72" s="139" t="s">
        <v>272</v>
      </c>
      <c r="B72" s="219">
        <v>120</v>
      </c>
      <c r="C72" s="219">
        <v>120</v>
      </c>
      <c r="D72" s="219">
        <v>120</v>
      </c>
      <c r="E72" s="219">
        <v>120</v>
      </c>
      <c r="F72" s="141" t="s">
        <v>269</v>
      </c>
    </row>
    <row r="73" spans="1:6" x14ac:dyDescent="0.2">
      <c r="A73" s="146" t="s">
        <v>279</v>
      </c>
      <c r="B73" s="318">
        <v>4.1999999999999996E-2</v>
      </c>
      <c r="C73" s="318">
        <v>4.2000000000000003E-2</v>
      </c>
      <c r="D73" s="318">
        <v>4.4999999999999998E-2</v>
      </c>
      <c r="E73" s="318">
        <v>4.3000000000000003E-2</v>
      </c>
      <c r="F73" s="154" t="s">
        <v>269</v>
      </c>
    </row>
    <row r="74" spans="1:6" x14ac:dyDescent="0.2">
      <c r="B74" s="1"/>
      <c r="C74" s="1"/>
    </row>
    <row r="75" spans="1:6" x14ac:dyDescent="0.2">
      <c r="A75" s="149" t="s">
        <v>257</v>
      </c>
      <c r="B75" s="102" t="s">
        <v>226</v>
      </c>
      <c r="C75" s="105" t="s">
        <v>187</v>
      </c>
      <c r="D75" s="140" t="s">
        <v>117</v>
      </c>
    </row>
    <row r="76" spans="1:6" x14ac:dyDescent="0.2">
      <c r="A76" s="146" t="s">
        <v>261</v>
      </c>
      <c r="B76" s="5" t="s">
        <v>262</v>
      </c>
      <c r="C76" s="5" t="s">
        <v>263</v>
      </c>
      <c r="D76" s="154" t="s">
        <v>264</v>
      </c>
    </row>
    <row r="77" spans="1:6" x14ac:dyDescent="0.2">
      <c r="A77" s="139" t="s">
        <v>320</v>
      </c>
      <c r="B77" s="8">
        <v>8</v>
      </c>
      <c r="C77" s="8">
        <v>4</v>
      </c>
      <c r="D77" s="141">
        <v>1</v>
      </c>
    </row>
    <row r="78" spans="1:6" x14ac:dyDescent="0.2">
      <c r="A78" s="139" t="s">
        <v>321</v>
      </c>
      <c r="B78" s="8">
        <v>2</v>
      </c>
      <c r="C78" s="8">
        <v>2</v>
      </c>
      <c r="D78" s="141"/>
    </row>
    <row r="79" spans="1:6" x14ac:dyDescent="0.2">
      <c r="A79" s="139" t="s">
        <v>322</v>
      </c>
      <c r="B79" s="8">
        <v>5</v>
      </c>
      <c r="C79" s="8">
        <v>4</v>
      </c>
      <c r="D79" s="141">
        <v>1</v>
      </c>
    </row>
    <row r="80" spans="1:6" x14ac:dyDescent="0.2">
      <c r="A80" s="317" t="s">
        <v>40</v>
      </c>
      <c r="B80" s="5">
        <v>15</v>
      </c>
      <c r="C80" s="5">
        <v>10</v>
      </c>
      <c r="D80" s="154">
        <v>2</v>
      </c>
    </row>
  </sheetData>
  <phoneticPr fontId="3" type="noConversion"/>
  <pageMargins left="0.5" right="0.5" top="1" bottom="0.5" header="0.5" footer="0.5"/>
  <pageSetup paperSize="3" scale="115" fitToWidth="0" fitToHeight="0" orientation="landscape" r:id="rId1"/>
  <headerFooter alignWithMargins="0">
    <oddHeader>&amp;L&amp;"Arial,Bold"7. Income Statement: Retail&amp;CTEAM :2021-1920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8"/>
  <sheetViews>
    <sheetView view="pageLayout" zoomScaleNormal="100" workbookViewId="0">
      <selection activeCell="B11" sqref="B11"/>
    </sheetView>
  </sheetViews>
  <sheetFormatPr defaultColWidth="9.140625" defaultRowHeight="12.75" x14ac:dyDescent="0.2"/>
  <cols>
    <col min="1" max="1" width="23.140625" style="1" customWidth="1"/>
    <col min="2" max="3" width="8.5703125" style="3" customWidth="1"/>
    <col min="4" max="13" width="8.5703125" style="1" customWidth="1"/>
    <col min="14" max="16384" width="9.140625" style="1"/>
  </cols>
  <sheetData>
    <row r="1" spans="1:13" ht="14.1" customHeight="1" x14ac:dyDescent="0.2">
      <c r="A1" s="89"/>
      <c r="B1" s="89"/>
      <c r="C1" s="88"/>
      <c r="D1" s="90"/>
      <c r="E1" s="90"/>
      <c r="F1" s="90"/>
      <c r="G1" s="90"/>
      <c r="H1" s="90"/>
      <c r="I1" s="90"/>
      <c r="J1" s="90"/>
      <c r="K1" s="90"/>
      <c r="L1" s="86" t="s">
        <v>1</v>
      </c>
      <c r="M1" s="87"/>
    </row>
    <row r="2" spans="1:13" ht="14.1" customHeight="1" x14ac:dyDescent="0.2">
      <c r="L2" s="44"/>
      <c r="M2" s="45"/>
    </row>
    <row r="3" spans="1:13" ht="14.1" customHeight="1" x14ac:dyDescent="0.2">
      <c r="C3" s="3" t="s">
        <v>2</v>
      </c>
      <c r="D3" s="10" t="s">
        <v>3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">
      <c r="A4" s="5"/>
      <c r="B4" s="20" t="s">
        <v>58</v>
      </c>
      <c r="C4" s="81" t="s">
        <v>4</v>
      </c>
      <c r="D4" s="20">
        <v>2023</v>
      </c>
      <c r="E4" s="20">
        <f t="shared" ref="E4:M4" si="0">D4+1</f>
        <v>2024</v>
      </c>
      <c r="F4" s="20">
        <f t="shared" si="0"/>
        <v>2025</v>
      </c>
      <c r="G4" s="20">
        <f t="shared" si="0"/>
        <v>2026</v>
      </c>
      <c r="H4" s="20">
        <f t="shared" si="0"/>
        <v>2027</v>
      </c>
      <c r="I4" s="20">
        <f t="shared" si="0"/>
        <v>2028</v>
      </c>
      <c r="J4" s="20">
        <f t="shared" si="0"/>
        <v>2029</v>
      </c>
      <c r="K4" s="20">
        <f t="shared" si="0"/>
        <v>2030</v>
      </c>
      <c r="L4" s="20">
        <f t="shared" si="0"/>
        <v>2031</v>
      </c>
      <c r="M4" s="20">
        <f t="shared" si="0"/>
        <v>2032</v>
      </c>
    </row>
    <row r="5" spans="1:13" ht="18" customHeight="1" x14ac:dyDescent="0.2">
      <c r="A5" s="10" t="s">
        <v>78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1" customHeight="1" x14ac:dyDescent="0.2">
      <c r="A6" s="91" t="s">
        <v>59</v>
      </c>
      <c r="B6" s="15">
        <v>0.02</v>
      </c>
      <c r="C6" s="15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4.1" customHeight="1" x14ac:dyDescent="0.2">
      <c r="A7" s="91" t="s">
        <v>92</v>
      </c>
      <c r="B7" s="56"/>
      <c r="C7" s="56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4.1" customHeight="1" x14ac:dyDescent="0.2">
      <c r="A8" s="91" t="s">
        <v>72</v>
      </c>
      <c r="B8" s="29">
        <v>0.85</v>
      </c>
      <c r="C8" s="29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4.1" customHeight="1" x14ac:dyDescent="0.2">
      <c r="A9" s="17" t="s">
        <v>93</v>
      </c>
      <c r="B9" s="61">
        <v>175</v>
      </c>
      <c r="C9" s="61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8" customHeight="1" x14ac:dyDescent="0.2">
      <c r="A10" s="10" t="s">
        <v>5</v>
      </c>
      <c r="B10" s="56"/>
      <c r="C10" s="56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4.1" customHeight="1" x14ac:dyDescent="0.2">
      <c r="A11" s="91" t="s">
        <v>94</v>
      </c>
      <c r="B11" s="25"/>
      <c r="C11" s="25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36" customFormat="1" ht="14.1" customHeight="1" x14ac:dyDescent="0.2">
      <c r="A12" s="34" t="s">
        <v>95</v>
      </c>
      <c r="B12" s="35"/>
      <c r="C12" s="35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s="36" customFormat="1" ht="14.1" customHeight="1" x14ac:dyDescent="0.2">
      <c r="A13" s="39" t="s">
        <v>96</v>
      </c>
      <c r="B13" s="40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4.1" customHeight="1" x14ac:dyDescent="0.2">
      <c r="A14" s="92" t="s">
        <v>21</v>
      </c>
      <c r="B14" s="31"/>
      <c r="C14" s="31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8" customHeight="1" x14ac:dyDescent="0.2">
      <c r="A15" s="10" t="s">
        <v>15</v>
      </c>
      <c r="B15" s="56"/>
      <c r="C15" s="56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4.1" customHeight="1" x14ac:dyDescent="0.2">
      <c r="A16" s="91" t="s">
        <v>75</v>
      </c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4" ht="14.1" customHeight="1" x14ac:dyDescent="0.2">
      <c r="A17" s="91" t="s">
        <v>15</v>
      </c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4" ht="14.1" customHeight="1" x14ac:dyDescent="0.2">
      <c r="A18" s="91" t="s">
        <v>52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4" ht="14.1" customHeight="1" x14ac:dyDescent="0.2">
      <c r="A19" s="92" t="s">
        <v>19</v>
      </c>
      <c r="B19" s="31"/>
      <c r="C19" s="31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4" ht="18" customHeight="1" x14ac:dyDescent="0.2">
      <c r="A20" s="10" t="s">
        <v>20</v>
      </c>
      <c r="B20" s="56"/>
      <c r="C20" s="56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4" ht="14.1" customHeight="1" x14ac:dyDescent="0.2">
      <c r="A21" s="91" t="s">
        <v>21</v>
      </c>
      <c r="B21" s="28"/>
      <c r="C21" s="2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4" ht="14.1" customHeight="1" x14ac:dyDescent="0.2">
      <c r="A22" s="91" t="s">
        <v>76</v>
      </c>
      <c r="B22" s="15"/>
      <c r="C22" s="1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60"/>
    </row>
    <row r="23" spans="1:14" ht="14.1" customHeight="1" x14ac:dyDescent="0.2">
      <c r="A23" s="91" t="s">
        <v>77</v>
      </c>
      <c r="B23" s="15"/>
      <c r="C23" s="1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60"/>
    </row>
    <row r="24" spans="1:14" ht="14.1" customHeight="1" x14ac:dyDescent="0.2">
      <c r="A24" s="91" t="s">
        <v>19</v>
      </c>
      <c r="B24" s="15"/>
      <c r="C24" s="1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60"/>
    </row>
    <row r="25" spans="1:14" ht="14.1" customHeight="1" x14ac:dyDescent="0.2">
      <c r="A25" s="17" t="s">
        <v>24</v>
      </c>
      <c r="B25" s="24"/>
      <c r="C25" s="2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60"/>
    </row>
    <row r="26" spans="1:14" ht="18" customHeight="1" x14ac:dyDescent="0.2">
      <c r="A26" s="10" t="s">
        <v>27</v>
      </c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60"/>
    </row>
    <row r="27" spans="1:14" ht="18" customHeight="1" x14ac:dyDescent="0.2">
      <c r="A27" s="19" t="s">
        <v>29</v>
      </c>
      <c r="B27" s="18"/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0"/>
    </row>
    <row r="28" spans="1:14" ht="18" customHeight="1" x14ac:dyDescent="0.2">
      <c r="A28" s="19" t="s">
        <v>31</v>
      </c>
      <c r="B28" s="18"/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60"/>
    </row>
  </sheetData>
  <phoneticPr fontId="3" type="noConversion"/>
  <pageMargins left="0.5" right="0.5" top="1" bottom="0.5" header="0.5" footer="0.5"/>
  <pageSetup orientation="landscape" r:id="rId1"/>
  <headerFooter alignWithMargins="0">
    <oddHeader>&amp;L&amp;"Arial,Bold"9. Income Statement: Hotel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D0D48330F6CE4FB6B3AE62FA39CE46" ma:contentTypeVersion="12" ma:contentTypeDescription="Create a new document." ma:contentTypeScope="" ma:versionID="d16e14bbbeef8c56e4e5d0cca4ae47c5">
  <xsd:schema xmlns:xsd="http://www.w3.org/2001/XMLSchema" xmlns:xs="http://www.w3.org/2001/XMLSchema" xmlns:p="http://schemas.microsoft.com/office/2006/metadata/properties" xmlns:ns2="07832773-9414-42b9-95c3-36a558d8f74c" xmlns:ns3="9f6012f1-210b-47d8-98a5-79507b18255d" targetNamespace="http://schemas.microsoft.com/office/2006/metadata/properties" ma:root="true" ma:fieldsID="36579591e5340c74db5afa91bc787075" ns2:_="" ns3:_="">
    <xsd:import namespace="07832773-9414-42b9-95c3-36a558d8f74c"/>
    <xsd:import namespace="9f6012f1-210b-47d8-98a5-79507b182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32773-9414-42b9-95c3-36a558d8f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012f1-210b-47d8-98a5-79507b182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C3EDDE-991D-456C-BE9D-2CC043174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832773-9414-42b9-95c3-36a558d8f74c"/>
    <ds:schemaRef ds:uri="9f6012f1-210b-47d8-98a5-79507b182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9B511-CCB3-49F0-99DA-48DB3A1300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F60B30-8B90-4E1E-A3E2-D827AC3FC9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Summary Board</vt:lpstr>
      <vt:lpstr>1.Infrastructure Costs</vt:lpstr>
      <vt:lpstr>2.Market-rate Rental Housing</vt:lpstr>
      <vt:lpstr>3.Market-rate For-Sale Housing</vt:lpstr>
      <vt:lpstr>4.Affordable Rental Housing</vt:lpstr>
      <vt:lpstr>6.Office_Commercial</vt:lpstr>
      <vt:lpstr>5.Affordable For-Sale Housing</vt:lpstr>
      <vt:lpstr>7.Market-rate Retail</vt:lpstr>
      <vt:lpstr>8.Hotel</vt:lpstr>
      <vt:lpstr>9.Underground Parking</vt:lpstr>
      <vt:lpstr>10.Market-rate Institutional</vt:lpstr>
      <vt:lpstr>Other Sheets</vt:lpstr>
      <vt:lpstr>Massing</vt:lpstr>
      <vt:lpstr> Infrastructure Schedule</vt:lpstr>
      <vt:lpstr>Budget</vt:lpstr>
      <vt:lpstr>Building Summary</vt:lpstr>
      <vt:lpstr>Sheet1</vt:lpstr>
      <vt:lpstr>10.Surface Parking</vt:lpstr>
      <vt:lpstr>' Infrastructure Schedule'!Print_Area</vt:lpstr>
      <vt:lpstr>'1.Infrastructure Costs'!Print_Area</vt:lpstr>
      <vt:lpstr>'10.Market-rate Institutional'!Print_Area</vt:lpstr>
      <vt:lpstr>'2.Market-rate Rental Housing'!Print_Area</vt:lpstr>
      <vt:lpstr>'3.Market-rate For-Sale Housing'!Print_Area</vt:lpstr>
      <vt:lpstr>'4.Affordable Rental Housing'!Print_Area</vt:lpstr>
      <vt:lpstr>'5.Affordable For-Sale Housing'!Print_Area</vt:lpstr>
      <vt:lpstr>'6.Office_Commercial'!Print_Area</vt:lpstr>
      <vt:lpstr>'7.Market-rate Retail'!Print_Area</vt:lpstr>
      <vt:lpstr>'8.Hotel'!Print_Area</vt:lpstr>
      <vt:lpstr>'9.Underground Parking'!Print_Area</vt:lpstr>
      <vt:lpstr>Budget!Print_Area</vt:lpstr>
      <vt:lpstr>'Building Summary'!Print_Area</vt:lpstr>
      <vt:lpstr>Massing!Print_Area</vt:lpstr>
      <vt:lpstr>'Summary Board'!Print_Area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Finkenbinder-Best</dc:creator>
  <cp:keywords/>
  <dc:description/>
  <cp:lastModifiedBy>chris hardy</cp:lastModifiedBy>
  <cp:revision/>
  <cp:lastPrinted>2021-01-26T03:20:52Z</cp:lastPrinted>
  <dcterms:created xsi:type="dcterms:W3CDTF">2007-12-12T14:49:40Z</dcterms:created>
  <dcterms:modified xsi:type="dcterms:W3CDTF">2021-01-26T07:07:23Z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0x01010007D0D48330F6CE4FB6B3AE62FA39CE46</vt:lpwstr>
  </property>
</Properties>
</file>