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 checkCompatibility="1"/>
  <mc:AlternateContent xmlns:mc="http://schemas.openxmlformats.org/markup-compatibility/2006">
    <mc:Choice Requires="x15">
      <x15ac:absPath xmlns:x15ac="http://schemas.microsoft.com/office/spreadsheetml/2010/11/ac" url="/Users/lolabenalon/Downloads/"/>
    </mc:Choice>
  </mc:AlternateContent>
  <bookViews>
    <workbookView xWindow="0" yWindow="560" windowWidth="28800" windowHeight="16140"/>
  </bookViews>
  <sheets>
    <sheet name="Summary Board" sheetId="1" r:id="rId1"/>
    <sheet name="Project Data" sheetId="3" r:id="rId2"/>
    <sheet name="Financing" sheetId="2" r:id="rId3"/>
    <sheet name="1. Light Industry and Workshops" sheetId="11" r:id="rId4"/>
    <sheet name="2. Hotel" sheetId="14" r:id="rId5"/>
    <sheet name="3. Upscale Rental Apartments" sheetId="5" r:id="rId6"/>
    <sheet name="4. Condominiums" sheetId="6" r:id="rId7"/>
    <sheet name="5. Affordable Rental Apartments" sheetId="7" r:id="rId8"/>
    <sheet name="6. Live Work Lofts" sheetId="8" r:id="rId9"/>
    <sheet name="7. Market Rental Apartments" sheetId="9" r:id="rId10"/>
    <sheet name="8. Offices, Incubators &amp; Educat" sheetId="10" r:id="rId11"/>
    <sheet name="9. Commercial - Retail" sheetId="12" r:id="rId12"/>
    <sheet name="10. Food Market" sheetId="13" r:id="rId13"/>
    <sheet name="11. Structured Parking" sheetId="15" r:id="rId14"/>
  </sheets>
  <definedNames>
    <definedName name="_xlnm.Print_Area" localSheetId="0">'Summary Board'!$A$1:$N$112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7" i="2" l="1"/>
  <c r="B58" i="2"/>
  <c r="B59" i="2"/>
  <c r="C26" i="15"/>
  <c r="A163" i="3"/>
  <c r="B163" i="3"/>
  <c r="C163" i="3"/>
  <c r="D163" i="3"/>
  <c r="E163" i="3"/>
  <c r="G163" i="3"/>
  <c r="A164" i="3"/>
  <c r="B164" i="3"/>
  <c r="C164" i="3"/>
  <c r="D164" i="3"/>
  <c r="G164" i="3"/>
  <c r="C165" i="3"/>
  <c r="D165" i="3"/>
  <c r="G165" i="3"/>
  <c r="C166" i="3"/>
  <c r="C167" i="3"/>
  <c r="C168" i="3"/>
  <c r="C169" i="3"/>
  <c r="A170" i="3"/>
  <c r="B170" i="3"/>
  <c r="C170" i="3"/>
  <c r="D170" i="3"/>
  <c r="E170" i="3"/>
  <c r="F170" i="3"/>
  <c r="G170" i="3"/>
  <c r="B12" i="7"/>
  <c r="D12" i="7"/>
  <c r="E12" i="7"/>
  <c r="F12" i="7"/>
  <c r="G12" i="7"/>
  <c r="B11" i="7"/>
  <c r="G19" i="7"/>
  <c r="G21" i="7"/>
  <c r="F43" i="2"/>
  <c r="F44" i="2"/>
  <c r="F46" i="2"/>
  <c r="F47" i="2"/>
  <c r="F48" i="2"/>
  <c r="F50" i="2"/>
  <c r="G43" i="2"/>
  <c r="G44" i="2"/>
  <c r="G46" i="2"/>
  <c r="G47" i="2"/>
  <c r="G48" i="2"/>
  <c r="G50" i="2"/>
  <c r="H43" i="2"/>
  <c r="H44" i="2"/>
  <c r="H46" i="2"/>
  <c r="H47" i="2"/>
  <c r="H48" i="2"/>
  <c r="H50" i="2"/>
  <c r="H12" i="7"/>
  <c r="I12" i="7"/>
  <c r="J12" i="7"/>
  <c r="J19" i="7"/>
  <c r="J21" i="7"/>
  <c r="I43" i="2"/>
  <c r="I44" i="2"/>
  <c r="I46" i="2"/>
  <c r="I47" i="2"/>
  <c r="I48" i="2"/>
  <c r="I50" i="2"/>
  <c r="J43" i="2"/>
  <c r="J44" i="2"/>
  <c r="J46" i="2"/>
  <c r="J47" i="2"/>
  <c r="J48" i="2"/>
  <c r="J50" i="2"/>
  <c r="B51" i="2"/>
  <c r="K100" i="1"/>
  <c r="E26" i="1"/>
  <c r="B12" i="11"/>
  <c r="B13" i="11"/>
  <c r="D13" i="11"/>
  <c r="D21" i="11"/>
  <c r="D23" i="11"/>
  <c r="D24" i="11"/>
  <c r="D25" i="11"/>
  <c r="E27" i="1"/>
  <c r="B27" i="14"/>
  <c r="C27" i="14"/>
  <c r="D27" i="14"/>
  <c r="B9" i="14"/>
  <c r="D28" i="14"/>
  <c r="D29" i="14"/>
  <c r="D30" i="14"/>
  <c r="E30" i="1"/>
  <c r="D41" i="15"/>
  <c r="D46" i="15"/>
  <c r="D47" i="15"/>
  <c r="E31" i="1"/>
  <c r="E32" i="1"/>
  <c r="L6" i="2"/>
  <c r="E33" i="1"/>
  <c r="E35" i="1"/>
  <c r="E34" i="1"/>
  <c r="E39" i="1"/>
  <c r="E44" i="1"/>
  <c r="F20" i="1"/>
  <c r="F21" i="1"/>
  <c r="F24" i="1"/>
  <c r="B12" i="10"/>
  <c r="B13" i="10"/>
  <c r="E23" i="10"/>
  <c r="E24" i="10"/>
  <c r="E25" i="10"/>
  <c r="B46" i="10"/>
  <c r="B47" i="10"/>
  <c r="E47" i="10"/>
  <c r="E57" i="10"/>
  <c r="E58" i="10"/>
  <c r="E59" i="10"/>
  <c r="F25" i="1"/>
  <c r="F26" i="1"/>
  <c r="E13" i="11"/>
  <c r="E21" i="11"/>
  <c r="E23" i="11"/>
  <c r="E24" i="11"/>
  <c r="E25" i="11"/>
  <c r="F27" i="1"/>
  <c r="B12" i="12"/>
  <c r="B13" i="12"/>
  <c r="E23" i="12"/>
  <c r="E24" i="12"/>
  <c r="E25" i="12"/>
  <c r="F28" i="1"/>
  <c r="B12" i="13"/>
  <c r="B13" i="13"/>
  <c r="E23" i="13"/>
  <c r="B24" i="13"/>
  <c r="E24" i="13"/>
  <c r="E25" i="13"/>
  <c r="F29" i="1"/>
  <c r="F30" i="1"/>
  <c r="E39" i="15"/>
  <c r="E46" i="15"/>
  <c r="E47" i="15"/>
  <c r="F31" i="1"/>
  <c r="F32" i="1"/>
  <c r="F39" i="1"/>
  <c r="F44" i="1"/>
  <c r="G20" i="1"/>
  <c r="G21" i="1"/>
  <c r="G22" i="1"/>
  <c r="G24" i="1"/>
  <c r="F47" i="10"/>
  <c r="F57" i="10"/>
  <c r="F58" i="10"/>
  <c r="F59" i="10"/>
  <c r="B80" i="10"/>
  <c r="F91" i="10"/>
  <c r="F92" i="10"/>
  <c r="F93" i="10"/>
  <c r="G25" i="1"/>
  <c r="F13" i="11"/>
  <c r="F21" i="11"/>
  <c r="F23" i="11"/>
  <c r="F24" i="11"/>
  <c r="F25" i="11"/>
  <c r="G27" i="1"/>
  <c r="F23" i="12"/>
  <c r="F24" i="12"/>
  <c r="F25" i="12"/>
  <c r="G28" i="1"/>
  <c r="G30" i="1"/>
  <c r="F39" i="15"/>
  <c r="F46" i="15"/>
  <c r="F47" i="15"/>
  <c r="G31" i="1"/>
  <c r="G32" i="1"/>
  <c r="G39" i="1"/>
  <c r="G44" i="1"/>
  <c r="H20" i="1"/>
  <c r="H21" i="1"/>
  <c r="H22" i="1"/>
  <c r="B12" i="8"/>
  <c r="D12" i="8"/>
  <c r="B6" i="8"/>
  <c r="E12" i="8"/>
  <c r="F12" i="8"/>
  <c r="G12" i="8"/>
  <c r="B11" i="8"/>
  <c r="G22" i="8"/>
  <c r="B23" i="8"/>
  <c r="G23" i="8"/>
  <c r="G24" i="8"/>
  <c r="H23" i="1"/>
  <c r="B22" i="7"/>
  <c r="G22" i="7"/>
  <c r="G23" i="7"/>
  <c r="H24" i="1"/>
  <c r="G47" i="10"/>
  <c r="G57" i="10"/>
  <c r="G58" i="10"/>
  <c r="G59" i="10"/>
  <c r="H25" i="1"/>
  <c r="H26" i="1"/>
  <c r="G13" i="11"/>
  <c r="G21" i="11"/>
  <c r="G23" i="11"/>
  <c r="G24" i="11"/>
  <c r="G25" i="11"/>
  <c r="H27" i="1"/>
  <c r="G23" i="12"/>
  <c r="G24" i="12"/>
  <c r="G25" i="12"/>
  <c r="H28" i="1"/>
  <c r="H30" i="1"/>
  <c r="G39" i="15"/>
  <c r="G46" i="15"/>
  <c r="G47" i="15"/>
  <c r="H31" i="1"/>
  <c r="H32" i="1"/>
  <c r="H39" i="1"/>
  <c r="H44" i="1"/>
  <c r="I20" i="1"/>
  <c r="I21" i="1"/>
  <c r="I22" i="1"/>
  <c r="I23" i="1"/>
  <c r="I24" i="1"/>
  <c r="I27" i="1"/>
  <c r="H23" i="12"/>
  <c r="H24" i="12"/>
  <c r="H25" i="12"/>
  <c r="I28" i="1"/>
  <c r="H39" i="15"/>
  <c r="H40" i="15"/>
  <c r="H46" i="15"/>
  <c r="H47" i="15"/>
  <c r="I31" i="1"/>
  <c r="I32" i="1"/>
  <c r="I39" i="1"/>
  <c r="I44" i="1"/>
  <c r="J20" i="1"/>
  <c r="J21" i="1"/>
  <c r="J22" i="1"/>
  <c r="J23" i="1"/>
  <c r="J24" i="1"/>
  <c r="J27" i="1"/>
  <c r="I23" i="12"/>
  <c r="I24" i="12"/>
  <c r="I25" i="12"/>
  <c r="J28" i="1"/>
  <c r="I39" i="15"/>
  <c r="I40" i="15"/>
  <c r="I46" i="15"/>
  <c r="I47" i="15"/>
  <c r="J31" i="1"/>
  <c r="J39" i="1"/>
  <c r="J44" i="1"/>
  <c r="B13" i="5"/>
  <c r="D13" i="5"/>
  <c r="B6" i="5"/>
  <c r="E13" i="5"/>
  <c r="F13" i="5"/>
  <c r="G13" i="5"/>
  <c r="H13" i="5"/>
  <c r="I13" i="5"/>
  <c r="J13" i="5"/>
  <c r="B12" i="5"/>
  <c r="J23" i="5"/>
  <c r="J24" i="5"/>
  <c r="J25" i="5"/>
  <c r="K20" i="1"/>
  <c r="B7" i="6"/>
  <c r="B8" i="6"/>
  <c r="D8" i="6"/>
  <c r="E8" i="6"/>
  <c r="F8" i="6"/>
  <c r="G8" i="6"/>
  <c r="H8" i="6"/>
  <c r="I8" i="6"/>
  <c r="J8" i="6"/>
  <c r="J24" i="6"/>
  <c r="B9" i="6"/>
  <c r="J25" i="6"/>
  <c r="J26" i="6"/>
  <c r="K21" i="1"/>
  <c r="B14" i="9"/>
  <c r="D14" i="9"/>
  <c r="E14" i="9"/>
  <c r="F14" i="9"/>
  <c r="G14" i="9"/>
  <c r="H14" i="9"/>
  <c r="I14" i="9"/>
  <c r="J14" i="9"/>
  <c r="B13" i="9"/>
  <c r="J23" i="9"/>
  <c r="J24" i="9"/>
  <c r="J25" i="9"/>
  <c r="K22" i="1"/>
  <c r="K23" i="1"/>
  <c r="J22" i="7"/>
  <c r="J23" i="7"/>
  <c r="K24" i="1"/>
  <c r="K27" i="1"/>
  <c r="K28" i="1"/>
  <c r="K31" i="1"/>
  <c r="K32" i="1"/>
  <c r="K39" i="1"/>
  <c r="K44" i="1"/>
  <c r="K23" i="5"/>
  <c r="K24" i="5"/>
  <c r="K25" i="5"/>
  <c r="L20" i="1"/>
  <c r="K8" i="6"/>
  <c r="K24" i="6"/>
  <c r="K25" i="6"/>
  <c r="K26" i="6"/>
  <c r="L21" i="1"/>
  <c r="L22" i="1"/>
  <c r="L23" i="1"/>
  <c r="L24" i="1"/>
  <c r="L27" i="1"/>
  <c r="L31" i="1"/>
  <c r="L39" i="1"/>
  <c r="L44" i="1"/>
  <c r="M20" i="1"/>
  <c r="L8" i="6"/>
  <c r="L24" i="6"/>
  <c r="L25" i="6"/>
  <c r="L26" i="6"/>
  <c r="M21" i="1"/>
  <c r="M22" i="1"/>
  <c r="M23" i="1"/>
  <c r="M24" i="1"/>
  <c r="M27" i="1"/>
  <c r="M31" i="1"/>
  <c r="M39" i="1"/>
  <c r="M44" i="1"/>
  <c r="N20" i="1"/>
  <c r="N21" i="1"/>
  <c r="N22" i="1"/>
  <c r="N24" i="1"/>
  <c r="N27" i="1"/>
  <c r="N31" i="1"/>
  <c r="N39" i="1"/>
  <c r="N44" i="1"/>
  <c r="C44" i="1"/>
  <c r="K91" i="1"/>
  <c r="K93" i="1"/>
  <c r="K101" i="1"/>
  <c r="C34" i="1"/>
  <c r="C35" i="1"/>
  <c r="C31" i="1"/>
  <c r="C32" i="1"/>
  <c r="K99" i="1"/>
  <c r="K103" i="1"/>
  <c r="B34" i="2"/>
  <c r="C34" i="2"/>
  <c r="E34" i="2"/>
  <c r="F34" i="2"/>
  <c r="H34" i="2"/>
  <c r="G34" i="2"/>
  <c r="B28" i="2"/>
  <c r="D28" i="2"/>
  <c r="E28" i="2"/>
  <c r="F28" i="2"/>
  <c r="G28" i="2"/>
  <c r="H28" i="2"/>
  <c r="I28" i="2"/>
  <c r="J28" i="2"/>
  <c r="K28" i="2"/>
  <c r="C28" i="2"/>
  <c r="H37" i="1"/>
  <c r="I37" i="1"/>
  <c r="J37" i="1"/>
  <c r="B22" i="2"/>
  <c r="D22" i="2"/>
  <c r="E22" i="2"/>
  <c r="F22" i="2"/>
  <c r="G22" i="2"/>
  <c r="H22" i="2"/>
  <c r="C22" i="2"/>
  <c r="F37" i="1"/>
  <c r="G37" i="1"/>
  <c r="B16" i="2"/>
  <c r="D16" i="2"/>
  <c r="E16" i="2"/>
  <c r="F16" i="2"/>
  <c r="C16" i="2"/>
  <c r="E37" i="1"/>
  <c r="B9" i="2"/>
  <c r="D9" i="2"/>
  <c r="E9" i="2"/>
  <c r="C9" i="2"/>
  <c r="E36" i="1"/>
  <c r="F36" i="1"/>
  <c r="G36" i="1"/>
  <c r="H36" i="1"/>
  <c r="I36" i="1"/>
  <c r="J36" i="1"/>
  <c r="K36" i="1"/>
  <c r="L36" i="1"/>
  <c r="M36" i="1"/>
  <c r="N36" i="1"/>
  <c r="C36" i="1"/>
  <c r="B4" i="2"/>
  <c r="C4" i="2"/>
  <c r="E4" i="2"/>
  <c r="C71" i="3"/>
  <c r="D12" i="1"/>
  <c r="D17" i="1"/>
  <c r="D41" i="1"/>
  <c r="D45" i="1"/>
  <c r="D51" i="1"/>
  <c r="S133" i="3"/>
  <c r="S134" i="3"/>
  <c r="S135" i="3"/>
  <c r="S136" i="3"/>
  <c r="S143" i="3"/>
  <c r="P137" i="3"/>
  <c r="P138" i="3"/>
  <c r="P139" i="3"/>
  <c r="P146" i="3"/>
  <c r="J133" i="3"/>
  <c r="W135" i="3"/>
  <c r="Y135" i="3"/>
  <c r="E38" i="3"/>
  <c r="F38" i="3"/>
  <c r="F48" i="3"/>
  <c r="P133" i="3"/>
  <c r="P144" i="3"/>
  <c r="M134" i="3"/>
  <c r="M135" i="3"/>
  <c r="P134" i="3"/>
  <c r="P135" i="3"/>
  <c r="P136" i="3"/>
  <c r="P145" i="3"/>
  <c r="D133" i="3"/>
  <c r="B134" i="3"/>
  <c r="D134" i="3"/>
  <c r="D135" i="3"/>
  <c r="B136" i="3"/>
  <c r="D136" i="3"/>
  <c r="B137" i="3"/>
  <c r="D137" i="3"/>
  <c r="D138" i="3"/>
  <c r="B139" i="3"/>
  <c r="D139" i="3"/>
  <c r="D140" i="3"/>
  <c r="D141" i="3"/>
  <c r="D142" i="3"/>
  <c r="D143" i="3"/>
  <c r="W133" i="3"/>
  <c r="Y133" i="3"/>
  <c r="E36" i="3"/>
  <c r="F36" i="3"/>
  <c r="E43" i="3"/>
  <c r="F43" i="3"/>
  <c r="P140" i="3"/>
  <c r="P141" i="3"/>
  <c r="P147" i="3"/>
  <c r="F13" i="15"/>
  <c r="E39" i="3"/>
  <c r="F39" i="3"/>
  <c r="E44" i="3"/>
  <c r="F44" i="3"/>
  <c r="E45" i="3"/>
  <c r="F45" i="3"/>
  <c r="F47" i="3"/>
  <c r="E33" i="3"/>
  <c r="F33" i="3"/>
  <c r="E34" i="3"/>
  <c r="F34" i="3"/>
  <c r="E35" i="3"/>
  <c r="F35" i="3"/>
  <c r="G134" i="3"/>
  <c r="G133" i="3"/>
  <c r="G13" i="15"/>
  <c r="F50" i="3"/>
  <c r="F52" i="3"/>
  <c r="F53" i="3"/>
  <c r="H13" i="15"/>
  <c r="W134" i="3"/>
  <c r="Y134" i="3"/>
  <c r="E40" i="3"/>
  <c r="F40" i="3"/>
  <c r="I13" i="15"/>
  <c r="G138" i="3"/>
  <c r="G136" i="3"/>
  <c r="B24" i="5"/>
  <c r="G137" i="3"/>
  <c r="G135" i="3"/>
  <c r="B24" i="9"/>
  <c r="E41" i="3"/>
  <c r="F41" i="3"/>
  <c r="F46" i="3"/>
  <c r="E51" i="3"/>
  <c r="F51" i="3"/>
  <c r="M49" i="1"/>
  <c r="L49" i="1"/>
  <c r="K49" i="1"/>
  <c r="J49" i="1"/>
  <c r="E47" i="1"/>
  <c r="H49" i="1"/>
  <c r="G49" i="1"/>
  <c r="F49" i="1"/>
  <c r="E48" i="1"/>
  <c r="F48" i="1"/>
  <c r="H48" i="1"/>
  <c r="K48" i="1"/>
  <c r="B9" i="5"/>
  <c r="D9" i="5"/>
  <c r="E9" i="5"/>
  <c r="F9" i="5"/>
  <c r="G9" i="5"/>
  <c r="H9" i="5"/>
  <c r="I9" i="5"/>
  <c r="J9" i="5"/>
  <c r="K9" i="5"/>
  <c r="L9" i="5"/>
  <c r="M9" i="5"/>
  <c r="K10" i="5"/>
  <c r="L10" i="5"/>
  <c r="M17" i="5"/>
  <c r="B15" i="5"/>
  <c r="D15" i="5"/>
  <c r="E15" i="5"/>
  <c r="F15" i="5"/>
  <c r="G15" i="5"/>
  <c r="H15" i="5"/>
  <c r="I15" i="5"/>
  <c r="J15" i="5"/>
  <c r="K15" i="5"/>
  <c r="L15" i="5"/>
  <c r="M15" i="5"/>
  <c r="M10" i="5"/>
  <c r="M18" i="5"/>
  <c r="M19" i="5"/>
  <c r="N6" i="1"/>
  <c r="L12" i="6"/>
  <c r="K12" i="6"/>
  <c r="M12" i="6"/>
  <c r="M15" i="6"/>
  <c r="B16" i="6"/>
  <c r="D16" i="6"/>
  <c r="E16" i="6"/>
  <c r="F16" i="6"/>
  <c r="G16" i="6"/>
  <c r="J16" i="6"/>
  <c r="M16" i="6"/>
  <c r="M18" i="6"/>
  <c r="B19" i="6"/>
  <c r="M19" i="6"/>
  <c r="M20" i="6"/>
  <c r="N7" i="1"/>
  <c r="B10" i="9"/>
  <c r="D10" i="9"/>
  <c r="E10" i="9"/>
  <c r="F10" i="9"/>
  <c r="G10" i="9"/>
  <c r="H10" i="9"/>
  <c r="I10" i="9"/>
  <c r="J10" i="9"/>
  <c r="K10" i="9"/>
  <c r="L10" i="9"/>
  <c r="M10" i="9"/>
  <c r="K11" i="9"/>
  <c r="L11" i="9"/>
  <c r="M11" i="9"/>
  <c r="M17" i="9"/>
  <c r="B15" i="9"/>
  <c r="D15" i="9"/>
  <c r="E15" i="9"/>
  <c r="F15" i="9"/>
  <c r="G15" i="9"/>
  <c r="H15" i="9"/>
  <c r="I15" i="9"/>
  <c r="J15" i="9"/>
  <c r="K15" i="9"/>
  <c r="L15" i="9"/>
  <c r="M15" i="9"/>
  <c r="M18" i="9"/>
  <c r="M19" i="9"/>
  <c r="N8" i="1"/>
  <c r="B9" i="8"/>
  <c r="D9" i="8"/>
  <c r="E9" i="8"/>
  <c r="F9" i="8"/>
  <c r="G9" i="8"/>
  <c r="H9" i="8"/>
  <c r="I9" i="8"/>
  <c r="J9" i="8"/>
  <c r="K9" i="8"/>
  <c r="L9" i="8"/>
  <c r="M9" i="8"/>
  <c r="H10" i="8"/>
  <c r="I10" i="8"/>
  <c r="J10" i="8"/>
  <c r="K10" i="8"/>
  <c r="L10" i="8"/>
  <c r="M16" i="8"/>
  <c r="B14" i="8"/>
  <c r="D14" i="8"/>
  <c r="E14" i="8"/>
  <c r="F14" i="8"/>
  <c r="G14" i="8"/>
  <c r="H14" i="8"/>
  <c r="I14" i="8"/>
  <c r="J14" i="8"/>
  <c r="K14" i="8"/>
  <c r="L14" i="8"/>
  <c r="M14" i="8"/>
  <c r="M10" i="8"/>
  <c r="M17" i="8"/>
  <c r="M18" i="8"/>
  <c r="N9" i="1"/>
  <c r="B9" i="7"/>
  <c r="D9" i="7"/>
  <c r="E9" i="7"/>
  <c r="F9" i="7"/>
  <c r="G9" i="7"/>
  <c r="H9" i="7"/>
  <c r="I9" i="7"/>
  <c r="J9" i="7"/>
  <c r="K9" i="7"/>
  <c r="L9" i="7"/>
  <c r="M9" i="7"/>
  <c r="H10" i="7"/>
  <c r="I10" i="7"/>
  <c r="J10" i="7"/>
  <c r="K10" i="7"/>
  <c r="L10" i="7"/>
  <c r="M10" i="7"/>
  <c r="M15" i="7"/>
  <c r="B13" i="7"/>
  <c r="D13" i="7"/>
  <c r="E13" i="7"/>
  <c r="F13" i="7"/>
  <c r="G13" i="7"/>
  <c r="H13" i="7"/>
  <c r="I13" i="7"/>
  <c r="J13" i="7"/>
  <c r="K13" i="7"/>
  <c r="L13" i="7"/>
  <c r="M13" i="7"/>
  <c r="M16" i="7"/>
  <c r="M17" i="7"/>
  <c r="N10" i="1"/>
  <c r="B14" i="10"/>
  <c r="E14" i="10"/>
  <c r="F14" i="10"/>
  <c r="G14" i="10"/>
  <c r="H14" i="10"/>
  <c r="I14" i="10"/>
  <c r="J14" i="10"/>
  <c r="K14" i="10"/>
  <c r="L14" i="10"/>
  <c r="M14" i="10"/>
  <c r="E10" i="10"/>
  <c r="F10" i="10"/>
  <c r="G10" i="10"/>
  <c r="H10" i="10"/>
  <c r="I10" i="10"/>
  <c r="J10" i="10"/>
  <c r="K10" i="10"/>
  <c r="L10" i="10"/>
  <c r="M10" i="10"/>
  <c r="M17" i="10"/>
  <c r="B15" i="10"/>
  <c r="E15" i="10"/>
  <c r="F15" i="10"/>
  <c r="G15" i="10"/>
  <c r="H15" i="10"/>
  <c r="I15" i="10"/>
  <c r="J15" i="10"/>
  <c r="K15" i="10"/>
  <c r="L15" i="10"/>
  <c r="M15" i="10"/>
  <c r="M18" i="10"/>
  <c r="M19" i="10"/>
  <c r="B48" i="10"/>
  <c r="E48" i="10"/>
  <c r="F48" i="10"/>
  <c r="G48" i="10"/>
  <c r="H48" i="10"/>
  <c r="I48" i="10"/>
  <c r="J48" i="10"/>
  <c r="K48" i="10"/>
  <c r="L48" i="10"/>
  <c r="M48" i="10"/>
  <c r="E44" i="10"/>
  <c r="F44" i="10"/>
  <c r="G44" i="10"/>
  <c r="H44" i="10"/>
  <c r="I44" i="10"/>
  <c r="J44" i="10"/>
  <c r="K44" i="10"/>
  <c r="L44" i="10"/>
  <c r="M44" i="10"/>
  <c r="M51" i="10"/>
  <c r="B49" i="10"/>
  <c r="E49" i="10"/>
  <c r="F49" i="10"/>
  <c r="G49" i="10"/>
  <c r="H49" i="10"/>
  <c r="I49" i="10"/>
  <c r="J49" i="10"/>
  <c r="K49" i="10"/>
  <c r="L49" i="10"/>
  <c r="M49" i="10"/>
  <c r="M52" i="10"/>
  <c r="M53" i="10"/>
  <c r="B71" i="3"/>
  <c r="B82" i="10"/>
  <c r="E82" i="10"/>
  <c r="F82" i="10"/>
  <c r="G82" i="10"/>
  <c r="H82" i="10"/>
  <c r="I82" i="10"/>
  <c r="J82" i="10"/>
  <c r="K82" i="10"/>
  <c r="L82" i="10"/>
  <c r="M82" i="10"/>
  <c r="G78" i="10"/>
  <c r="H78" i="10"/>
  <c r="I78" i="10"/>
  <c r="J78" i="10"/>
  <c r="K78" i="10"/>
  <c r="L78" i="10"/>
  <c r="M78" i="10"/>
  <c r="M85" i="10"/>
  <c r="E83" i="10"/>
  <c r="F83" i="10"/>
  <c r="G83" i="10"/>
  <c r="H83" i="10"/>
  <c r="I83" i="10"/>
  <c r="J83" i="10"/>
  <c r="K83" i="10"/>
  <c r="L83" i="10"/>
  <c r="M83" i="10"/>
  <c r="M86" i="10"/>
  <c r="M87" i="10"/>
  <c r="N11" i="1"/>
  <c r="B14" i="11"/>
  <c r="D14" i="11"/>
  <c r="E14" i="11"/>
  <c r="F14" i="11"/>
  <c r="G14" i="11"/>
  <c r="H14" i="11"/>
  <c r="I14" i="11"/>
  <c r="J14" i="11"/>
  <c r="K14" i="11"/>
  <c r="L14" i="11"/>
  <c r="M14" i="11"/>
  <c r="E10" i="11"/>
  <c r="F10" i="11"/>
  <c r="G10" i="11"/>
  <c r="H10" i="11"/>
  <c r="I10" i="11"/>
  <c r="J10" i="11"/>
  <c r="K10" i="11"/>
  <c r="L10" i="11"/>
  <c r="M10" i="11"/>
  <c r="M17" i="11"/>
  <c r="D15" i="11"/>
  <c r="E15" i="11"/>
  <c r="F15" i="11"/>
  <c r="G15" i="11"/>
  <c r="H15" i="11"/>
  <c r="I15" i="11"/>
  <c r="J15" i="11"/>
  <c r="K15" i="11"/>
  <c r="L15" i="11"/>
  <c r="M15" i="11"/>
  <c r="M18" i="11"/>
  <c r="M19" i="11"/>
  <c r="N12" i="1"/>
  <c r="E14" i="12"/>
  <c r="F14" i="12"/>
  <c r="G14" i="12"/>
  <c r="H14" i="12"/>
  <c r="I14" i="12"/>
  <c r="J14" i="12"/>
  <c r="K14" i="12"/>
  <c r="L14" i="12"/>
  <c r="M14" i="12"/>
  <c r="E10" i="12"/>
  <c r="F10" i="12"/>
  <c r="G10" i="12"/>
  <c r="H10" i="12"/>
  <c r="I10" i="12"/>
  <c r="J10" i="12"/>
  <c r="K10" i="12"/>
  <c r="L10" i="12"/>
  <c r="M10" i="12"/>
  <c r="M17" i="12"/>
  <c r="E15" i="12"/>
  <c r="F15" i="12"/>
  <c r="G15" i="12"/>
  <c r="H15" i="12"/>
  <c r="I15" i="12"/>
  <c r="J15" i="12"/>
  <c r="K15" i="12"/>
  <c r="L15" i="12"/>
  <c r="M15" i="12"/>
  <c r="M18" i="12"/>
  <c r="M19" i="12"/>
  <c r="N13" i="1"/>
  <c r="B14" i="13"/>
  <c r="D14" i="13"/>
  <c r="B7" i="13"/>
  <c r="E14" i="13"/>
  <c r="F14" i="13"/>
  <c r="G14" i="13"/>
  <c r="H14" i="13"/>
  <c r="I14" i="13"/>
  <c r="J14" i="13"/>
  <c r="K14" i="13"/>
  <c r="L14" i="13"/>
  <c r="M14" i="13"/>
  <c r="F10" i="13"/>
  <c r="G10" i="13"/>
  <c r="H10" i="13"/>
  <c r="I10" i="13"/>
  <c r="J10" i="13"/>
  <c r="K10" i="13"/>
  <c r="L10" i="13"/>
  <c r="M10" i="13"/>
  <c r="M17" i="13"/>
  <c r="B15" i="13"/>
  <c r="D15" i="13"/>
  <c r="E15" i="13"/>
  <c r="F15" i="13"/>
  <c r="G15" i="13"/>
  <c r="H15" i="13"/>
  <c r="I15" i="13"/>
  <c r="J15" i="13"/>
  <c r="K15" i="13"/>
  <c r="L15" i="13"/>
  <c r="M15" i="13"/>
  <c r="M18" i="13"/>
  <c r="M19" i="13"/>
  <c r="N14" i="1"/>
  <c r="B12" i="14"/>
  <c r="C12" i="14"/>
  <c r="D12" i="14"/>
  <c r="E12" i="14"/>
  <c r="F12" i="14"/>
  <c r="G12" i="14"/>
  <c r="H12" i="14"/>
  <c r="I12" i="14"/>
  <c r="J12" i="14"/>
  <c r="K12" i="14"/>
  <c r="L12" i="14"/>
  <c r="M12" i="14"/>
  <c r="E14" i="14"/>
  <c r="F14" i="14"/>
  <c r="G14" i="14"/>
  <c r="H14" i="14"/>
  <c r="I14" i="14"/>
  <c r="J14" i="14"/>
  <c r="K14" i="14"/>
  <c r="L14" i="14"/>
  <c r="M1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B11" i="14"/>
  <c r="M17" i="14"/>
  <c r="M20" i="14"/>
  <c r="B21" i="14"/>
  <c r="M21" i="14"/>
  <c r="B22" i="14"/>
  <c r="M22" i="14"/>
  <c r="M23" i="14"/>
  <c r="N15" i="1"/>
  <c r="B103" i="3"/>
  <c r="B107" i="3"/>
  <c r="B11" i="15"/>
  <c r="B10" i="15"/>
  <c r="D10" i="15"/>
  <c r="B6" i="15"/>
  <c r="E10" i="15"/>
  <c r="F10" i="15"/>
  <c r="G10" i="15"/>
  <c r="H10" i="15"/>
  <c r="I10" i="15"/>
  <c r="J10" i="15"/>
  <c r="K10" i="15"/>
  <c r="L10" i="15"/>
  <c r="M10" i="15"/>
  <c r="F12" i="15"/>
  <c r="G12" i="15"/>
  <c r="H12" i="15"/>
  <c r="I12" i="15"/>
  <c r="J12" i="15"/>
  <c r="K12" i="15"/>
  <c r="L12" i="15"/>
  <c r="M12" i="15"/>
  <c r="M30" i="15"/>
  <c r="F24" i="3"/>
  <c r="F26" i="3"/>
  <c r="B110" i="3"/>
  <c r="B16" i="15"/>
  <c r="B15" i="15"/>
  <c r="D15" i="15"/>
  <c r="E15" i="15"/>
  <c r="F15" i="15"/>
  <c r="G15" i="15"/>
  <c r="H15" i="15"/>
  <c r="I15" i="15"/>
  <c r="J15" i="15"/>
  <c r="K15" i="15"/>
  <c r="L15" i="15"/>
  <c r="M15" i="15"/>
  <c r="J17" i="15"/>
  <c r="K17" i="15"/>
  <c r="L17" i="15"/>
  <c r="M17" i="15"/>
  <c r="M31" i="15"/>
  <c r="B113" i="3"/>
  <c r="B20" i="15"/>
  <c r="B19" i="15"/>
  <c r="D19" i="15"/>
  <c r="E19" i="15"/>
  <c r="F19" i="15"/>
  <c r="G19" i="15"/>
  <c r="H19" i="15"/>
  <c r="I19" i="15"/>
  <c r="J19" i="15"/>
  <c r="K19" i="15"/>
  <c r="L19" i="15"/>
  <c r="M19" i="15"/>
  <c r="J21" i="15"/>
  <c r="K21" i="15"/>
  <c r="L21" i="15"/>
  <c r="M21" i="15"/>
  <c r="M33" i="15"/>
  <c r="B115" i="3"/>
  <c r="B23" i="15"/>
  <c r="F24" i="15"/>
  <c r="G24" i="15"/>
  <c r="H24" i="15"/>
  <c r="I24" i="15"/>
  <c r="J24" i="15"/>
  <c r="K24" i="15"/>
  <c r="L24" i="15"/>
  <c r="M24" i="15"/>
  <c r="M34" i="15"/>
  <c r="M35" i="15"/>
  <c r="D26" i="15"/>
  <c r="E26" i="15"/>
  <c r="F26" i="15"/>
  <c r="G26" i="15"/>
  <c r="H26" i="15"/>
  <c r="I26" i="15"/>
  <c r="J26" i="15"/>
  <c r="K26" i="15"/>
  <c r="L26" i="15"/>
  <c r="M26" i="15"/>
  <c r="Y143" i="3"/>
  <c r="B7" i="15"/>
  <c r="M36" i="15"/>
  <c r="M37" i="15"/>
  <c r="N16" i="1"/>
  <c r="N17" i="1"/>
  <c r="N41" i="1"/>
  <c r="L7" i="2"/>
  <c r="L8" i="2"/>
  <c r="D42" i="1"/>
  <c r="E42" i="1"/>
  <c r="N42" i="1"/>
  <c r="N53" i="1"/>
  <c r="I49" i="1"/>
  <c r="J7" i="1"/>
  <c r="I16" i="8"/>
  <c r="I17" i="8"/>
  <c r="I18" i="8"/>
  <c r="J9" i="1"/>
  <c r="I15" i="7"/>
  <c r="I16" i="7"/>
  <c r="I17" i="7"/>
  <c r="J10" i="1"/>
  <c r="I17" i="10"/>
  <c r="I18" i="10"/>
  <c r="I19" i="10"/>
  <c r="I51" i="10"/>
  <c r="I52" i="10"/>
  <c r="I53" i="10"/>
  <c r="I85" i="10"/>
  <c r="I86" i="10"/>
  <c r="I87" i="10"/>
  <c r="J11" i="1"/>
  <c r="I17" i="11"/>
  <c r="I18" i="11"/>
  <c r="I19" i="11"/>
  <c r="J12" i="1"/>
  <c r="I17" i="12"/>
  <c r="I18" i="12"/>
  <c r="I19" i="12"/>
  <c r="J13" i="1"/>
  <c r="I17" i="13"/>
  <c r="I18" i="13"/>
  <c r="I19" i="13"/>
  <c r="J14" i="1"/>
  <c r="I17" i="14"/>
  <c r="I20" i="14"/>
  <c r="I21" i="14"/>
  <c r="I22" i="14"/>
  <c r="I23" i="14"/>
  <c r="J15" i="1"/>
  <c r="I30" i="15"/>
  <c r="I34" i="15"/>
  <c r="I35" i="15"/>
  <c r="I36" i="15"/>
  <c r="I37" i="15"/>
  <c r="J16" i="1"/>
  <c r="J17" i="1"/>
  <c r="J41" i="1"/>
  <c r="J42" i="1"/>
  <c r="J53" i="1"/>
  <c r="F17" i="10"/>
  <c r="F18" i="10"/>
  <c r="F19" i="10"/>
  <c r="F51" i="10"/>
  <c r="F52" i="10"/>
  <c r="F53" i="10"/>
  <c r="G11" i="1"/>
  <c r="D22" i="11"/>
  <c r="E22" i="11"/>
  <c r="F17" i="11"/>
  <c r="F18" i="11"/>
  <c r="F19" i="11"/>
  <c r="G12" i="1"/>
  <c r="F17" i="12"/>
  <c r="F18" i="12"/>
  <c r="F19" i="12"/>
  <c r="G13" i="1"/>
  <c r="F17" i="13"/>
  <c r="F18" i="13"/>
  <c r="F19" i="13"/>
  <c r="G14" i="1"/>
  <c r="F17" i="14"/>
  <c r="F20" i="14"/>
  <c r="F21" i="14"/>
  <c r="F22" i="14"/>
  <c r="F23" i="14"/>
  <c r="G15" i="1"/>
  <c r="F30" i="15"/>
  <c r="F34" i="15"/>
  <c r="F35" i="15"/>
  <c r="F36" i="15"/>
  <c r="F37" i="15"/>
  <c r="G16" i="1"/>
  <c r="G17" i="1"/>
  <c r="G41" i="1"/>
  <c r="G42" i="1"/>
  <c r="G53" i="1"/>
  <c r="E53" i="1"/>
  <c r="L17" i="5"/>
  <c r="J22" i="5"/>
  <c r="K22" i="5"/>
  <c r="L18" i="5"/>
  <c r="L19" i="5"/>
  <c r="M6" i="1"/>
  <c r="L15" i="6"/>
  <c r="K16" i="6"/>
  <c r="L16" i="6"/>
  <c r="L18" i="6"/>
  <c r="L19" i="6"/>
  <c r="L20" i="6"/>
  <c r="M7" i="1"/>
  <c r="L17" i="9"/>
  <c r="L18" i="9"/>
  <c r="L19" i="9"/>
  <c r="M8" i="1"/>
  <c r="L16" i="8"/>
  <c r="L17" i="8"/>
  <c r="L18" i="8"/>
  <c r="M9" i="1"/>
  <c r="L15" i="7"/>
  <c r="L16" i="7"/>
  <c r="L17" i="7"/>
  <c r="M10" i="1"/>
  <c r="L17" i="10"/>
  <c r="L18" i="10"/>
  <c r="L19" i="10"/>
  <c r="L51" i="10"/>
  <c r="L52" i="10"/>
  <c r="L53" i="10"/>
  <c r="L85" i="10"/>
  <c r="L86" i="10"/>
  <c r="L87" i="10"/>
  <c r="M11" i="1"/>
  <c r="L17" i="11"/>
  <c r="L18" i="11"/>
  <c r="L19" i="11"/>
  <c r="M12" i="1"/>
  <c r="L17" i="12"/>
  <c r="L18" i="12"/>
  <c r="L19" i="12"/>
  <c r="M13" i="1"/>
  <c r="L17" i="13"/>
  <c r="L18" i="13"/>
  <c r="L19" i="13"/>
  <c r="M14" i="1"/>
  <c r="L17" i="14"/>
  <c r="L20" i="14"/>
  <c r="L21" i="14"/>
  <c r="L22" i="14"/>
  <c r="L23" i="14"/>
  <c r="M15" i="1"/>
  <c r="L30" i="15"/>
  <c r="L31" i="15"/>
  <c r="L33" i="15"/>
  <c r="L34" i="15"/>
  <c r="L35" i="15"/>
  <c r="L36" i="15"/>
  <c r="L37" i="15"/>
  <c r="M16" i="1"/>
  <c r="M17" i="1"/>
  <c r="M41" i="1"/>
  <c r="M42" i="1"/>
  <c r="K17" i="5"/>
  <c r="K18" i="5"/>
  <c r="K19" i="5"/>
  <c r="L6" i="1"/>
  <c r="K15" i="6"/>
  <c r="K18" i="6"/>
  <c r="K19" i="6"/>
  <c r="K20" i="6"/>
  <c r="L7" i="1"/>
  <c r="K17" i="9"/>
  <c r="K18" i="9"/>
  <c r="K19" i="9"/>
  <c r="L8" i="1"/>
  <c r="K16" i="8"/>
  <c r="K17" i="8"/>
  <c r="K18" i="8"/>
  <c r="L9" i="1"/>
  <c r="K15" i="7"/>
  <c r="K16" i="7"/>
  <c r="K17" i="7"/>
  <c r="L10" i="1"/>
  <c r="K17" i="10"/>
  <c r="K18" i="10"/>
  <c r="K19" i="10"/>
  <c r="K51" i="10"/>
  <c r="K52" i="10"/>
  <c r="K53" i="10"/>
  <c r="K85" i="10"/>
  <c r="K86" i="10"/>
  <c r="K87" i="10"/>
  <c r="L11" i="1"/>
  <c r="K17" i="11"/>
  <c r="K18" i="11"/>
  <c r="K19" i="11"/>
  <c r="L12" i="1"/>
  <c r="K17" i="12"/>
  <c r="K18" i="12"/>
  <c r="K19" i="12"/>
  <c r="L13" i="1"/>
  <c r="K17" i="13"/>
  <c r="K18" i="13"/>
  <c r="K19" i="13"/>
  <c r="L14" i="1"/>
  <c r="K17" i="14"/>
  <c r="K20" i="14"/>
  <c r="K21" i="14"/>
  <c r="K22" i="14"/>
  <c r="K23" i="14"/>
  <c r="L15" i="1"/>
  <c r="K30" i="15"/>
  <c r="K31" i="15"/>
  <c r="K33" i="15"/>
  <c r="K34" i="15"/>
  <c r="K35" i="15"/>
  <c r="K36" i="15"/>
  <c r="K37" i="15"/>
  <c r="L16" i="1"/>
  <c r="L17" i="1"/>
  <c r="L41" i="1"/>
  <c r="L42" i="1"/>
  <c r="K6" i="1"/>
  <c r="K7" i="1"/>
  <c r="J16" i="8"/>
  <c r="J17" i="8"/>
  <c r="J18" i="8"/>
  <c r="K9" i="1"/>
  <c r="J15" i="7"/>
  <c r="J16" i="7"/>
  <c r="J17" i="7"/>
  <c r="K10" i="1"/>
  <c r="J17" i="10"/>
  <c r="J18" i="10"/>
  <c r="J19" i="10"/>
  <c r="J51" i="10"/>
  <c r="J52" i="10"/>
  <c r="J53" i="10"/>
  <c r="J85" i="10"/>
  <c r="J86" i="10"/>
  <c r="J87" i="10"/>
  <c r="K11" i="1"/>
  <c r="J17" i="11"/>
  <c r="J18" i="11"/>
  <c r="J19" i="11"/>
  <c r="K12" i="1"/>
  <c r="J17" i="12"/>
  <c r="J18" i="12"/>
  <c r="J19" i="12"/>
  <c r="K13" i="1"/>
  <c r="J17" i="13"/>
  <c r="J18" i="13"/>
  <c r="J19" i="13"/>
  <c r="K14" i="1"/>
  <c r="J17" i="14"/>
  <c r="J20" i="14"/>
  <c r="J21" i="14"/>
  <c r="J22" i="14"/>
  <c r="J23" i="14"/>
  <c r="K15" i="1"/>
  <c r="J30" i="15"/>
  <c r="J31" i="15"/>
  <c r="J33" i="15"/>
  <c r="J34" i="15"/>
  <c r="J35" i="15"/>
  <c r="J36" i="15"/>
  <c r="J37" i="15"/>
  <c r="K16" i="1"/>
  <c r="K17" i="1"/>
  <c r="K41" i="1"/>
  <c r="K42" i="1"/>
  <c r="I7" i="1"/>
  <c r="H16" i="8"/>
  <c r="H17" i="8"/>
  <c r="H18" i="8"/>
  <c r="I9" i="1"/>
  <c r="H15" i="7"/>
  <c r="H16" i="7"/>
  <c r="H17" i="7"/>
  <c r="I10" i="1"/>
  <c r="H17" i="10"/>
  <c r="H18" i="10"/>
  <c r="H19" i="10"/>
  <c r="H51" i="10"/>
  <c r="H52" i="10"/>
  <c r="H53" i="10"/>
  <c r="H85" i="10"/>
  <c r="H86" i="10"/>
  <c r="H87" i="10"/>
  <c r="I11" i="1"/>
  <c r="H17" i="11"/>
  <c r="H18" i="11"/>
  <c r="H19" i="11"/>
  <c r="I12" i="1"/>
  <c r="H17" i="12"/>
  <c r="H18" i="12"/>
  <c r="H19" i="12"/>
  <c r="I13" i="1"/>
  <c r="H17" i="13"/>
  <c r="H18" i="13"/>
  <c r="H19" i="13"/>
  <c r="I14" i="1"/>
  <c r="H17" i="14"/>
  <c r="H20" i="14"/>
  <c r="H21" i="14"/>
  <c r="H22" i="14"/>
  <c r="H23" i="14"/>
  <c r="I15" i="1"/>
  <c r="H30" i="15"/>
  <c r="H34" i="15"/>
  <c r="H35" i="15"/>
  <c r="H36" i="15"/>
  <c r="H37" i="15"/>
  <c r="I16" i="1"/>
  <c r="I17" i="1"/>
  <c r="I41" i="1"/>
  <c r="I42" i="1"/>
  <c r="H7" i="1"/>
  <c r="G17" i="10"/>
  <c r="G18" i="10"/>
  <c r="G19" i="10"/>
  <c r="G51" i="10"/>
  <c r="G52" i="10"/>
  <c r="G53" i="10"/>
  <c r="G85" i="10"/>
  <c r="G86" i="10"/>
  <c r="G87" i="10"/>
  <c r="H11" i="1"/>
  <c r="F22" i="11"/>
  <c r="G17" i="11"/>
  <c r="G18" i="11"/>
  <c r="G19" i="11"/>
  <c r="H12" i="1"/>
  <c r="G17" i="12"/>
  <c r="G18" i="12"/>
  <c r="G19" i="12"/>
  <c r="H13" i="1"/>
  <c r="G17" i="13"/>
  <c r="G18" i="13"/>
  <c r="G19" i="13"/>
  <c r="H14" i="1"/>
  <c r="G17" i="14"/>
  <c r="G20" i="14"/>
  <c r="G21" i="14"/>
  <c r="G22" i="14"/>
  <c r="G23" i="14"/>
  <c r="H15" i="1"/>
  <c r="G30" i="15"/>
  <c r="G34" i="15"/>
  <c r="G35" i="15"/>
  <c r="G36" i="15"/>
  <c r="G37" i="15"/>
  <c r="H16" i="1"/>
  <c r="H17" i="1"/>
  <c r="H41" i="1"/>
  <c r="H42" i="1"/>
  <c r="E17" i="11"/>
  <c r="E18" i="11"/>
  <c r="E19" i="11"/>
  <c r="F12" i="1"/>
  <c r="F13" i="1"/>
  <c r="E17" i="14"/>
  <c r="E20" i="14"/>
  <c r="E21" i="14"/>
  <c r="E22" i="14"/>
  <c r="E23" i="14"/>
  <c r="F15" i="1"/>
  <c r="E24" i="15"/>
  <c r="E34" i="15"/>
  <c r="E37" i="15"/>
  <c r="F16" i="1"/>
  <c r="F17" i="1"/>
  <c r="F41" i="1"/>
  <c r="F42" i="1"/>
  <c r="E41" i="1"/>
  <c r="E45" i="1"/>
  <c r="F45" i="1"/>
  <c r="E46" i="1"/>
  <c r="E50" i="1"/>
  <c r="E51" i="1"/>
  <c r="L22" i="5"/>
  <c r="M22" i="5"/>
  <c r="N73" i="1"/>
  <c r="D22" i="9"/>
  <c r="E22" i="9"/>
  <c r="F22" i="9"/>
  <c r="G22" i="9"/>
  <c r="H22" i="9"/>
  <c r="I22" i="9"/>
  <c r="J22" i="9"/>
  <c r="K22" i="9"/>
  <c r="L22" i="9"/>
  <c r="M22" i="9"/>
  <c r="N75" i="1"/>
  <c r="G20" i="7"/>
  <c r="H20" i="7"/>
  <c r="I20" i="7"/>
  <c r="J20" i="7"/>
  <c r="K77" i="1"/>
  <c r="J77" i="1"/>
  <c r="J23" i="6"/>
  <c r="K23" i="6"/>
  <c r="L23" i="6"/>
  <c r="M23" i="6"/>
  <c r="N74" i="1"/>
  <c r="D42" i="15"/>
  <c r="E42" i="15"/>
  <c r="J42" i="15"/>
  <c r="K42" i="15"/>
  <c r="L42" i="15"/>
  <c r="L43" i="15"/>
  <c r="M83" i="1"/>
  <c r="I43" i="15"/>
  <c r="J83" i="1"/>
  <c r="G21" i="8"/>
  <c r="H21" i="8"/>
  <c r="I21" i="8"/>
  <c r="J76" i="1"/>
  <c r="G22" i="11"/>
  <c r="H22" i="11"/>
  <c r="I22" i="11"/>
  <c r="J79" i="1"/>
  <c r="G79" i="1"/>
  <c r="D56" i="10"/>
  <c r="E56" i="10"/>
  <c r="F56" i="10"/>
  <c r="E79" i="1"/>
  <c r="D22" i="12"/>
  <c r="E22" i="12"/>
  <c r="F22" i="12"/>
  <c r="G80" i="1"/>
  <c r="D22" i="13"/>
  <c r="E22" i="13"/>
  <c r="F22" i="13"/>
  <c r="G22" i="13"/>
  <c r="H22" i="13"/>
  <c r="I22" i="13"/>
  <c r="J22" i="13"/>
  <c r="K22" i="13"/>
  <c r="L22" i="13"/>
  <c r="M22" i="13"/>
  <c r="N81" i="1"/>
  <c r="C81" i="1"/>
  <c r="D26" i="14"/>
  <c r="E26" i="14"/>
  <c r="F26" i="14"/>
  <c r="G26" i="14"/>
  <c r="H26" i="14"/>
  <c r="I26" i="14"/>
  <c r="J26" i="14"/>
  <c r="K26" i="14"/>
  <c r="L26" i="14"/>
  <c r="M26" i="14"/>
  <c r="N82" i="1"/>
  <c r="C82" i="1"/>
  <c r="B10" i="6"/>
  <c r="D10" i="6"/>
  <c r="E10" i="6"/>
  <c r="F10" i="6"/>
  <c r="G10" i="6"/>
  <c r="H10" i="6"/>
  <c r="I10" i="6"/>
  <c r="J10" i="6"/>
  <c r="K10" i="6"/>
  <c r="L10" i="6"/>
  <c r="M10" i="6"/>
  <c r="M8" i="6"/>
  <c r="E37" i="3"/>
  <c r="F37" i="3"/>
  <c r="F103" i="1"/>
  <c r="E42" i="3"/>
  <c r="F42" i="3"/>
  <c r="F104" i="1"/>
  <c r="F105" i="1"/>
  <c r="E49" i="3"/>
  <c r="F49" i="3"/>
  <c r="F106" i="1"/>
  <c r="F107" i="1"/>
  <c r="F108" i="1"/>
  <c r="F109" i="1"/>
  <c r="F111" i="1"/>
  <c r="F100" i="1"/>
  <c r="C21" i="1"/>
  <c r="F91" i="1"/>
  <c r="C20" i="1"/>
  <c r="F90" i="1"/>
  <c r="C22" i="1"/>
  <c r="F92" i="1"/>
  <c r="C23" i="1"/>
  <c r="F93" i="1"/>
  <c r="C24" i="1"/>
  <c r="F94" i="1"/>
  <c r="C25" i="1"/>
  <c r="F95" i="1"/>
  <c r="C27" i="1"/>
  <c r="F96" i="1"/>
  <c r="C28" i="1"/>
  <c r="F97" i="1"/>
  <c r="C29" i="1"/>
  <c r="F98" i="1"/>
  <c r="C30" i="1"/>
  <c r="F99" i="1"/>
  <c r="F101" i="1"/>
  <c r="K96" i="1"/>
  <c r="K95" i="1"/>
  <c r="K97" i="1"/>
  <c r="F110" i="1"/>
  <c r="M43" i="15"/>
  <c r="N83" i="1"/>
  <c r="J21" i="8"/>
  <c r="K21" i="8"/>
  <c r="L21" i="8"/>
  <c r="M21" i="8"/>
  <c r="N76" i="1"/>
  <c r="K20" i="7"/>
  <c r="L20" i="7"/>
  <c r="M20" i="7"/>
  <c r="N77" i="1"/>
  <c r="D22" i="10"/>
  <c r="E22" i="10"/>
  <c r="F22" i="10"/>
  <c r="G22" i="10"/>
  <c r="H22" i="10"/>
  <c r="I22" i="10"/>
  <c r="J22" i="10"/>
  <c r="K22" i="10"/>
  <c r="L22" i="10"/>
  <c r="M22" i="10"/>
  <c r="G56" i="10"/>
  <c r="H56" i="10"/>
  <c r="I56" i="10"/>
  <c r="J56" i="10"/>
  <c r="K56" i="10"/>
  <c r="L56" i="10"/>
  <c r="M56" i="10"/>
  <c r="D90" i="10"/>
  <c r="E90" i="10"/>
  <c r="F90" i="10"/>
  <c r="G90" i="10"/>
  <c r="H90" i="10"/>
  <c r="I90" i="10"/>
  <c r="J90" i="10"/>
  <c r="K90" i="10"/>
  <c r="L90" i="10"/>
  <c r="M90" i="10"/>
  <c r="N78" i="1"/>
  <c r="J22" i="11"/>
  <c r="K22" i="11"/>
  <c r="L22" i="11"/>
  <c r="M22" i="11"/>
  <c r="N79" i="1"/>
  <c r="G22" i="12"/>
  <c r="H22" i="12"/>
  <c r="I22" i="12"/>
  <c r="J22" i="12"/>
  <c r="K22" i="12"/>
  <c r="L22" i="12"/>
  <c r="M22" i="12"/>
  <c r="N80" i="1"/>
  <c r="N84" i="1"/>
  <c r="C84" i="1"/>
  <c r="E101" i="1"/>
  <c r="D101" i="1"/>
  <c r="E81" i="1"/>
  <c r="E80" i="1"/>
  <c r="E78" i="1"/>
  <c r="F79" i="1"/>
  <c r="C16" i="1"/>
  <c r="C13" i="1"/>
  <c r="C14" i="1"/>
  <c r="C15" i="1"/>
  <c r="C11" i="1"/>
  <c r="C12" i="1"/>
  <c r="C6" i="1"/>
  <c r="C7" i="1"/>
  <c r="C8" i="1"/>
  <c r="C9" i="1"/>
  <c r="C10" i="1"/>
  <c r="F112" i="1"/>
  <c r="M53" i="15"/>
  <c r="L53" i="15"/>
  <c r="K53" i="15"/>
  <c r="J53" i="15"/>
  <c r="D49" i="15"/>
  <c r="B46" i="15"/>
  <c r="B36" i="15"/>
  <c r="E4" i="15"/>
  <c r="F4" i="15"/>
  <c r="G4" i="15"/>
  <c r="H4" i="15"/>
  <c r="I4" i="15"/>
  <c r="J4" i="15"/>
  <c r="K4" i="15"/>
  <c r="L4" i="15"/>
  <c r="M4" i="15"/>
  <c r="E35" i="14"/>
  <c r="HD26" i="14"/>
  <c r="HE26" i="14"/>
  <c r="HF26" i="14"/>
  <c r="HG26" i="14"/>
  <c r="HH26" i="14"/>
  <c r="HI26" i="14"/>
  <c r="HJ26" i="14"/>
  <c r="HK26" i="14"/>
  <c r="HL26" i="14"/>
  <c r="HM26" i="14"/>
  <c r="GD26" i="14"/>
  <c r="GE26" i="14"/>
  <c r="GF26" i="14"/>
  <c r="GG26" i="14"/>
  <c r="GH26" i="14"/>
  <c r="GI26" i="14"/>
  <c r="GJ26" i="14"/>
  <c r="GK26" i="14"/>
  <c r="GL26" i="14"/>
  <c r="GM26" i="14"/>
  <c r="FD26" i="14"/>
  <c r="FE26" i="14"/>
  <c r="FF26" i="14"/>
  <c r="FG26" i="14"/>
  <c r="FH26" i="14"/>
  <c r="FI26" i="14"/>
  <c r="FJ26" i="14"/>
  <c r="FK26" i="14"/>
  <c r="FL26" i="14"/>
  <c r="FM26" i="14"/>
  <c r="ED26" i="14"/>
  <c r="EE26" i="14"/>
  <c r="EF26" i="14"/>
  <c r="EG26" i="14"/>
  <c r="EH26" i="14"/>
  <c r="EI26" i="14"/>
  <c r="EJ26" i="14"/>
  <c r="EK26" i="14"/>
  <c r="EL26" i="14"/>
  <c r="EM26" i="14"/>
  <c r="DD26" i="14"/>
  <c r="DE26" i="14"/>
  <c r="DF26" i="14"/>
  <c r="DG26" i="14"/>
  <c r="DH26" i="14"/>
  <c r="DI26" i="14"/>
  <c r="DJ26" i="14"/>
  <c r="DK26" i="14"/>
  <c r="DL26" i="14"/>
  <c r="DM26" i="14"/>
  <c r="CD26" i="14"/>
  <c r="CE26" i="14"/>
  <c r="CF26" i="14"/>
  <c r="CG26" i="14"/>
  <c r="CH26" i="14"/>
  <c r="CI26" i="14"/>
  <c r="CJ26" i="14"/>
  <c r="CK26" i="14"/>
  <c r="CL26" i="14"/>
  <c r="CM26" i="14"/>
  <c r="BD26" i="14"/>
  <c r="BE26" i="14"/>
  <c r="BF26" i="14"/>
  <c r="BG26" i="14"/>
  <c r="BH26" i="14"/>
  <c r="BI26" i="14"/>
  <c r="BJ26" i="14"/>
  <c r="BK26" i="14"/>
  <c r="BL26" i="14"/>
  <c r="BM26" i="14"/>
  <c r="AD26" i="14"/>
  <c r="AE26" i="14"/>
  <c r="AF26" i="14"/>
  <c r="AG26" i="14"/>
  <c r="AH26" i="14"/>
  <c r="AI26" i="14"/>
  <c r="AJ26" i="14"/>
  <c r="AK26" i="14"/>
  <c r="AL26" i="14"/>
  <c r="AM26" i="14"/>
  <c r="E4" i="14"/>
  <c r="F4" i="14"/>
  <c r="G4" i="14"/>
  <c r="H4" i="14"/>
  <c r="I4" i="14"/>
  <c r="J4" i="14"/>
  <c r="K4" i="14"/>
  <c r="L4" i="14"/>
  <c r="M4" i="14"/>
  <c r="D32" i="13"/>
  <c r="E27" i="13"/>
  <c r="D13" i="13"/>
  <c r="E13" i="13"/>
  <c r="B11" i="13"/>
  <c r="E4" i="13"/>
  <c r="F4" i="13"/>
  <c r="G4" i="13"/>
  <c r="H4" i="13"/>
  <c r="I4" i="13"/>
  <c r="J4" i="13"/>
  <c r="K4" i="13"/>
  <c r="L4" i="13"/>
  <c r="M4" i="13"/>
  <c r="M31" i="12"/>
  <c r="L31" i="12"/>
  <c r="K31" i="12"/>
  <c r="J31" i="12"/>
  <c r="D31" i="12"/>
  <c r="D32" i="12"/>
  <c r="E27" i="12"/>
  <c r="E4" i="12"/>
  <c r="F4" i="12"/>
  <c r="G4" i="12"/>
  <c r="H4" i="12"/>
  <c r="I4" i="12"/>
  <c r="J4" i="12"/>
  <c r="K4" i="12"/>
  <c r="L4" i="12"/>
  <c r="M4" i="12"/>
  <c r="D32" i="11"/>
  <c r="E4" i="11"/>
  <c r="F4" i="11"/>
  <c r="G4" i="11"/>
  <c r="H4" i="11"/>
  <c r="I4" i="11"/>
  <c r="J4" i="11"/>
  <c r="K4" i="11"/>
  <c r="L4" i="11"/>
  <c r="M4" i="11"/>
  <c r="F95" i="10"/>
  <c r="E95" i="10"/>
  <c r="E100" i="10"/>
  <c r="E72" i="10"/>
  <c r="F72" i="10"/>
  <c r="G72" i="10"/>
  <c r="H72" i="10"/>
  <c r="I72" i="10"/>
  <c r="J72" i="10"/>
  <c r="K72" i="10"/>
  <c r="L72" i="10"/>
  <c r="M72" i="10"/>
  <c r="M65" i="10"/>
  <c r="L65" i="10"/>
  <c r="K65" i="10"/>
  <c r="J65" i="10"/>
  <c r="I65" i="10"/>
  <c r="H65" i="10"/>
  <c r="D65" i="10"/>
  <c r="E61" i="10"/>
  <c r="E38" i="10"/>
  <c r="F38" i="10"/>
  <c r="G38" i="10"/>
  <c r="H38" i="10"/>
  <c r="I38" i="10"/>
  <c r="J38" i="10"/>
  <c r="K38" i="10"/>
  <c r="L38" i="10"/>
  <c r="M38" i="10"/>
  <c r="D31" i="10"/>
  <c r="E27" i="10"/>
  <c r="E4" i="10"/>
  <c r="F4" i="10"/>
  <c r="G4" i="10"/>
  <c r="H4" i="10"/>
  <c r="I4" i="10"/>
  <c r="J4" i="10"/>
  <c r="K4" i="10"/>
  <c r="L4" i="10"/>
  <c r="M4" i="10"/>
  <c r="M31" i="9"/>
  <c r="L31" i="9"/>
  <c r="K31" i="9"/>
  <c r="I31" i="9"/>
  <c r="H31" i="9"/>
  <c r="G31" i="9"/>
  <c r="F31" i="9"/>
  <c r="E31" i="9"/>
  <c r="D31" i="9"/>
  <c r="J27" i="9"/>
  <c r="I27" i="9"/>
  <c r="H27" i="9"/>
  <c r="G27" i="9"/>
  <c r="F27" i="9"/>
  <c r="E27" i="9"/>
  <c r="D27" i="9"/>
  <c r="D12" i="9"/>
  <c r="B8" i="9"/>
  <c r="E4" i="9"/>
  <c r="F4" i="9"/>
  <c r="G4" i="9"/>
  <c r="H4" i="9"/>
  <c r="I4" i="9"/>
  <c r="J4" i="9"/>
  <c r="K4" i="9"/>
  <c r="L4" i="9"/>
  <c r="M4" i="9"/>
  <c r="M30" i="8"/>
  <c r="L30" i="8"/>
  <c r="K30" i="8"/>
  <c r="J30" i="8"/>
  <c r="I30" i="8"/>
  <c r="H30" i="8"/>
  <c r="F30" i="8"/>
  <c r="E30" i="8"/>
  <c r="D30" i="8"/>
  <c r="B29" i="8"/>
  <c r="G26" i="8"/>
  <c r="F26" i="8"/>
  <c r="E26" i="8"/>
  <c r="D26" i="8"/>
  <c r="D21" i="8"/>
  <c r="B13" i="8"/>
  <c r="D13" i="8"/>
  <c r="E13" i="8"/>
  <c r="F13" i="8"/>
  <c r="G13" i="8"/>
  <c r="B7" i="8"/>
  <c r="E4" i="8"/>
  <c r="F4" i="8"/>
  <c r="G4" i="8"/>
  <c r="H4" i="8"/>
  <c r="I4" i="8"/>
  <c r="J4" i="8"/>
  <c r="K4" i="8"/>
  <c r="L4" i="8"/>
  <c r="M4" i="8"/>
  <c r="M29" i="7"/>
  <c r="L29" i="7"/>
  <c r="K29" i="7"/>
  <c r="I29" i="7"/>
  <c r="H29" i="7"/>
  <c r="F29" i="7"/>
  <c r="E29" i="7"/>
  <c r="D29" i="7"/>
  <c r="G26" i="7"/>
  <c r="F26" i="7"/>
  <c r="E26" i="7"/>
  <c r="D26" i="7"/>
  <c r="D20" i="7"/>
  <c r="B7" i="7"/>
  <c r="P5" i="7"/>
  <c r="P6" i="7"/>
  <c r="E4" i="7"/>
  <c r="F4" i="7"/>
  <c r="G4" i="7"/>
  <c r="H4" i="7"/>
  <c r="I4" i="7"/>
  <c r="J4" i="7"/>
  <c r="K4" i="7"/>
  <c r="L4" i="7"/>
  <c r="M4" i="7"/>
  <c r="M28" i="6"/>
  <c r="B25" i="6"/>
  <c r="B13" i="6"/>
  <c r="E4" i="6"/>
  <c r="F4" i="6"/>
  <c r="G4" i="6"/>
  <c r="H4" i="6"/>
  <c r="I4" i="6"/>
  <c r="J4" i="6"/>
  <c r="K4" i="6"/>
  <c r="L4" i="6"/>
  <c r="M4" i="6"/>
  <c r="M31" i="5"/>
  <c r="L31" i="5"/>
  <c r="I31" i="5"/>
  <c r="H31" i="5"/>
  <c r="G31" i="5"/>
  <c r="F31" i="5"/>
  <c r="E31" i="5"/>
  <c r="D31" i="5"/>
  <c r="B30" i="5"/>
  <c r="J28" i="5"/>
  <c r="I28" i="5"/>
  <c r="H28" i="5"/>
  <c r="G28" i="5"/>
  <c r="F28" i="5"/>
  <c r="E28" i="5"/>
  <c r="D28" i="5"/>
  <c r="D22" i="5"/>
  <c r="D14" i="5"/>
  <c r="B7" i="5"/>
  <c r="E14" i="5"/>
  <c r="F14" i="5"/>
  <c r="G14" i="5"/>
  <c r="H14" i="5"/>
  <c r="I14" i="5"/>
  <c r="J14" i="5"/>
  <c r="E4" i="5"/>
  <c r="F4" i="5"/>
  <c r="G4" i="5"/>
  <c r="H4" i="5"/>
  <c r="I4" i="5"/>
  <c r="J4" i="5"/>
  <c r="K4" i="5"/>
  <c r="L4" i="5"/>
  <c r="M4" i="5"/>
  <c r="P157" i="3"/>
  <c r="P156" i="3"/>
  <c r="P155" i="3"/>
  <c r="P154" i="3"/>
  <c r="P153" i="3"/>
  <c r="P152" i="3"/>
  <c r="G144" i="3"/>
  <c r="J143" i="3"/>
  <c r="C76" i="3"/>
  <c r="C78" i="3"/>
  <c r="K74" i="1"/>
  <c r="K62" i="1"/>
  <c r="G145" i="3"/>
  <c r="E75" i="1"/>
  <c r="E63" i="1"/>
  <c r="V134" i="3"/>
  <c r="V133" i="3"/>
  <c r="V143" i="3"/>
  <c r="P143" i="3"/>
  <c r="M133" i="3"/>
  <c r="M143" i="3"/>
  <c r="C88" i="3"/>
  <c r="D87" i="3"/>
  <c r="D86" i="3"/>
  <c r="E76" i="3"/>
  <c r="E78" i="3"/>
  <c r="D76" i="3"/>
  <c r="D78" i="3"/>
  <c r="B76" i="3"/>
  <c r="B78" i="3"/>
  <c r="D42" i="3"/>
  <c r="E24" i="3"/>
  <c r="E26" i="3"/>
  <c r="C24" i="3"/>
  <c r="C26" i="3"/>
  <c r="E42" i="2"/>
  <c r="F42" i="2"/>
  <c r="G42" i="2"/>
  <c r="H42" i="2"/>
  <c r="I42" i="2"/>
  <c r="J42" i="2"/>
  <c r="K42" i="2"/>
  <c r="L42" i="2"/>
  <c r="M42" i="2"/>
  <c r="K10" i="2"/>
  <c r="L9" i="2"/>
  <c r="L10" i="2"/>
  <c r="E111" i="1"/>
  <c r="E110" i="1"/>
  <c r="E109" i="1"/>
  <c r="E108" i="1"/>
  <c r="D108" i="1"/>
  <c r="E107" i="1"/>
  <c r="D107" i="1"/>
  <c r="E105" i="1"/>
  <c r="D105" i="1"/>
  <c r="M92" i="1"/>
  <c r="M82" i="1"/>
  <c r="L82" i="1"/>
  <c r="K82" i="1"/>
  <c r="J82" i="1"/>
  <c r="I82" i="1"/>
  <c r="H82" i="1"/>
  <c r="G82" i="1"/>
  <c r="F82" i="1"/>
  <c r="E82" i="1"/>
  <c r="M81" i="1"/>
  <c r="L81" i="1"/>
  <c r="K81" i="1"/>
  <c r="J81" i="1"/>
  <c r="I81" i="1"/>
  <c r="H81" i="1"/>
  <c r="G81" i="1"/>
  <c r="F81" i="1"/>
  <c r="F75" i="1"/>
  <c r="F63" i="1"/>
  <c r="M74" i="1"/>
  <c r="M62" i="1"/>
  <c r="I74" i="1"/>
  <c r="I62" i="1"/>
  <c r="G74" i="1"/>
  <c r="E74" i="1"/>
  <c r="E62" i="1"/>
  <c r="L73" i="1"/>
  <c r="L61" i="1"/>
  <c r="J73" i="1"/>
  <c r="H73" i="1"/>
  <c r="H61" i="1"/>
  <c r="F73" i="1"/>
  <c r="N70" i="1"/>
  <c r="M70" i="1"/>
  <c r="L70" i="1"/>
  <c r="K70" i="1"/>
  <c r="J70" i="1"/>
  <c r="I70" i="1"/>
  <c r="H70" i="1"/>
  <c r="G70" i="1"/>
  <c r="F70" i="1"/>
  <c r="E70" i="1"/>
  <c r="C70" i="1"/>
  <c r="E99" i="1"/>
  <c r="N69" i="1"/>
  <c r="M69" i="1"/>
  <c r="L69" i="1"/>
  <c r="K69" i="1"/>
  <c r="J69" i="1"/>
  <c r="I69" i="1"/>
  <c r="H69" i="1"/>
  <c r="G69" i="1"/>
  <c r="F69" i="1"/>
  <c r="E69" i="1"/>
  <c r="C69" i="1"/>
  <c r="E98" i="1"/>
  <c r="E67" i="1"/>
  <c r="G62" i="1"/>
  <c r="J61" i="1"/>
  <c r="F61" i="1"/>
  <c r="F59" i="1"/>
  <c r="G59" i="1"/>
  <c r="H59" i="1"/>
  <c r="I59" i="1"/>
  <c r="J59" i="1"/>
  <c r="K59" i="1"/>
  <c r="L59" i="1"/>
  <c r="M59" i="1"/>
  <c r="N59" i="1"/>
  <c r="J54" i="1"/>
  <c r="F4" i="1"/>
  <c r="G4" i="1"/>
  <c r="H4" i="1"/>
  <c r="I4" i="1"/>
  <c r="J4" i="1"/>
  <c r="K4" i="1"/>
  <c r="L4" i="1"/>
  <c r="M4" i="1"/>
  <c r="N4" i="1"/>
  <c r="D109" i="1"/>
  <c r="K44" i="15"/>
  <c r="L44" i="15"/>
  <c r="J44" i="15"/>
  <c r="I73" i="1"/>
  <c r="E73" i="1"/>
  <c r="K73" i="1"/>
  <c r="G73" i="1"/>
  <c r="H16" i="6"/>
  <c r="I16" i="6"/>
  <c r="E106" i="1"/>
  <c r="D106" i="1"/>
  <c r="C33" i="1"/>
  <c r="E103" i="1"/>
  <c r="E104" i="1"/>
  <c r="O145" i="3"/>
  <c r="J80" i="1"/>
  <c r="J68" i="1"/>
  <c r="F80" i="1"/>
  <c r="F68" i="1"/>
  <c r="K80" i="1"/>
  <c r="K68" i="1"/>
  <c r="G68" i="1"/>
  <c r="L80" i="1"/>
  <c r="L68" i="1"/>
  <c r="H80" i="1"/>
  <c r="H68" i="1"/>
  <c r="M80" i="1"/>
  <c r="M68" i="1"/>
  <c r="I80" i="1"/>
  <c r="I68" i="1"/>
  <c r="E68" i="1"/>
  <c r="J74" i="1"/>
  <c r="J62" i="1"/>
  <c r="F74" i="1"/>
  <c r="F62" i="1"/>
  <c r="L74" i="1"/>
  <c r="L62" i="1"/>
  <c r="H74" i="1"/>
  <c r="H62" i="1"/>
  <c r="O147" i="3"/>
  <c r="M73" i="1"/>
  <c r="G75" i="1"/>
  <c r="G63" i="1"/>
  <c r="L78" i="1"/>
  <c r="L66" i="1"/>
  <c r="E19" i="14"/>
  <c r="D24" i="3"/>
  <c r="D26" i="3"/>
  <c r="G143" i="3"/>
  <c r="O144" i="3"/>
  <c r="G147" i="3"/>
  <c r="F61" i="10"/>
  <c r="G148" i="3"/>
  <c r="B24" i="3"/>
  <c r="B26" i="3"/>
  <c r="E18" i="14"/>
  <c r="G146" i="3"/>
  <c r="O146" i="3"/>
  <c r="H77" i="1"/>
  <c r="H65" i="1"/>
  <c r="K61" i="1"/>
  <c r="G61" i="10"/>
  <c r="F19" i="14"/>
  <c r="M78" i="1"/>
  <c r="M66" i="1"/>
  <c r="N61" i="1"/>
  <c r="C61" i="1"/>
  <c r="E90" i="1"/>
  <c r="C73" i="1"/>
  <c r="N62" i="1"/>
  <c r="C62" i="1"/>
  <c r="E91" i="1"/>
  <c r="C74" i="1"/>
  <c r="D44" i="15"/>
  <c r="G61" i="1"/>
  <c r="E44" i="15"/>
  <c r="O148" i="3"/>
  <c r="D104" i="1"/>
  <c r="C83" i="1"/>
  <c r="E43" i="15"/>
  <c r="F83" i="1"/>
  <c r="J43" i="15"/>
  <c r="K83" i="1"/>
  <c r="F43" i="15"/>
  <c r="G83" i="1"/>
  <c r="K43" i="15"/>
  <c r="L83" i="1"/>
  <c r="G43" i="15"/>
  <c r="H83" i="1"/>
  <c r="H43" i="15"/>
  <c r="I83" i="1"/>
  <c r="D43" i="15"/>
  <c r="E83" i="1"/>
  <c r="F18" i="14"/>
  <c r="E12" i="9"/>
  <c r="M61" i="1"/>
  <c r="C80" i="1"/>
  <c r="N68" i="1"/>
  <c r="C68" i="1"/>
  <c r="E97" i="1"/>
  <c r="F54" i="3"/>
  <c r="K27" i="9"/>
  <c r="K32" i="9"/>
  <c r="I61" i="1"/>
  <c r="G95" i="10"/>
  <c r="G100" i="10"/>
  <c r="F27" i="10"/>
  <c r="F32" i="10"/>
  <c r="K76" i="1"/>
  <c r="K64" i="1"/>
  <c r="G76" i="1"/>
  <c r="G64" i="1"/>
  <c r="M76" i="1"/>
  <c r="M64" i="1"/>
  <c r="I76" i="1"/>
  <c r="I64" i="1"/>
  <c r="E76" i="1"/>
  <c r="E64" i="1"/>
  <c r="L76" i="1"/>
  <c r="L64" i="1"/>
  <c r="F76" i="1"/>
  <c r="H76" i="1"/>
  <c r="H64" i="1"/>
  <c r="J64" i="1"/>
  <c r="B104" i="3"/>
  <c r="F77" i="1"/>
  <c r="F65" i="1"/>
  <c r="E77" i="1"/>
  <c r="E65" i="1"/>
  <c r="G77" i="1"/>
  <c r="G65" i="1"/>
  <c r="H75" i="1"/>
  <c r="H63" i="1"/>
  <c r="F99" i="10"/>
  <c r="F100" i="10"/>
  <c r="H61" i="10"/>
  <c r="H66" i="10"/>
  <c r="H78" i="1"/>
  <c r="H66" i="1"/>
  <c r="J78" i="1"/>
  <c r="J66" i="1"/>
  <c r="F78" i="1"/>
  <c r="F66" i="1"/>
  <c r="E66" i="1"/>
  <c r="G78" i="1"/>
  <c r="G66" i="1"/>
  <c r="I78" i="1"/>
  <c r="I66" i="1"/>
  <c r="K78" i="1"/>
  <c r="K66" i="1"/>
  <c r="K12" i="7"/>
  <c r="E61" i="1"/>
  <c r="E84" i="1"/>
  <c r="P148" i="3"/>
  <c r="G53" i="15"/>
  <c r="K31" i="5"/>
  <c r="G27" i="13"/>
  <c r="G32" i="13"/>
  <c r="G29" i="7"/>
  <c r="G30" i="7"/>
  <c r="H26" i="8"/>
  <c r="H31" i="8"/>
  <c r="E31" i="12"/>
  <c r="E32" i="12"/>
  <c r="G31" i="12"/>
  <c r="D53" i="15"/>
  <c r="D54" i="15"/>
  <c r="I53" i="15"/>
  <c r="E31" i="10"/>
  <c r="E32" i="10"/>
  <c r="I31" i="12"/>
  <c r="G27" i="10"/>
  <c r="G32" i="10"/>
  <c r="L28" i="5"/>
  <c r="L32" i="5"/>
  <c r="E65" i="10"/>
  <c r="E66" i="10"/>
  <c r="H26" i="7"/>
  <c r="H30" i="7"/>
  <c r="I75" i="1"/>
  <c r="F64" i="1"/>
  <c r="H95" i="10"/>
  <c r="H100" i="10"/>
  <c r="D110" i="1"/>
  <c r="J45" i="15"/>
  <c r="K71" i="1"/>
  <c r="F45" i="15"/>
  <c r="G71" i="1"/>
  <c r="K45" i="15"/>
  <c r="L71" i="1"/>
  <c r="G45" i="15"/>
  <c r="H71" i="1"/>
  <c r="L45" i="15"/>
  <c r="M71" i="1"/>
  <c r="H45" i="15"/>
  <c r="I71" i="1"/>
  <c r="D45" i="15"/>
  <c r="E71" i="1"/>
  <c r="M45" i="15"/>
  <c r="N71" i="1"/>
  <c r="C71" i="1"/>
  <c r="E100" i="1"/>
  <c r="I45" i="15"/>
  <c r="J71" i="1"/>
  <c r="E45" i="15"/>
  <c r="F71" i="1"/>
  <c r="G19" i="14"/>
  <c r="E31" i="13"/>
  <c r="E32" i="13"/>
  <c r="D98" i="1"/>
  <c r="H53" i="15"/>
  <c r="L28" i="6"/>
  <c r="F53" i="15"/>
  <c r="K29" i="6"/>
  <c r="L27" i="9"/>
  <c r="L32" i="9"/>
  <c r="H31" i="12"/>
  <c r="B8" i="15"/>
  <c r="K28" i="6"/>
  <c r="K30" i="6"/>
  <c r="D103" i="1"/>
  <c r="D111" i="1"/>
  <c r="F12" i="9"/>
  <c r="G18" i="14"/>
  <c r="J28" i="6"/>
  <c r="F31" i="12"/>
  <c r="C78" i="1"/>
  <c r="N66" i="1"/>
  <c r="C66" i="1"/>
  <c r="E95" i="1"/>
  <c r="I61" i="10"/>
  <c r="I66" i="10"/>
  <c r="K28" i="5"/>
  <c r="F27" i="12"/>
  <c r="L29" i="6"/>
  <c r="G27" i="12"/>
  <c r="G32" i="12"/>
  <c r="E53" i="15"/>
  <c r="J31" i="5"/>
  <c r="J32" i="5"/>
  <c r="D35" i="14"/>
  <c r="D36" i="14"/>
  <c r="D99" i="1"/>
  <c r="M27" i="9"/>
  <c r="C76" i="1"/>
  <c r="N64" i="1"/>
  <c r="C64" i="1"/>
  <c r="E93" i="1"/>
  <c r="F27" i="13"/>
  <c r="F32" i="13"/>
  <c r="J29" i="6"/>
  <c r="D91" i="1"/>
  <c r="I77" i="1"/>
  <c r="I65" i="1"/>
  <c r="G30" i="8"/>
  <c r="G31" i="8"/>
  <c r="J29" i="7"/>
  <c r="M28" i="5"/>
  <c r="H19" i="14"/>
  <c r="H27" i="10"/>
  <c r="H32" i="10"/>
  <c r="I63" i="1"/>
  <c r="L38" i="1"/>
  <c r="L37" i="1"/>
  <c r="D97" i="1"/>
  <c r="M29" i="9"/>
  <c r="M30" i="9"/>
  <c r="M32" i="9"/>
  <c r="E49" i="15"/>
  <c r="E54" i="15"/>
  <c r="H27" i="13"/>
  <c r="H32" i="13"/>
  <c r="G65" i="10"/>
  <c r="G66" i="10"/>
  <c r="J75" i="1"/>
  <c r="I26" i="7"/>
  <c r="I30" i="7"/>
  <c r="I26" i="8"/>
  <c r="I31" i="8"/>
  <c r="M37" i="1"/>
  <c r="M38" i="1"/>
  <c r="H18" i="14"/>
  <c r="G12" i="9"/>
  <c r="H27" i="11"/>
  <c r="H32" i="11"/>
  <c r="I95" i="10"/>
  <c r="I100" i="10"/>
  <c r="L30" i="6"/>
  <c r="E32" i="14"/>
  <c r="E36" i="14"/>
  <c r="J61" i="10"/>
  <c r="J66" i="10"/>
  <c r="I38" i="1"/>
  <c r="J65" i="1"/>
  <c r="H27" i="12"/>
  <c r="H32" i="12"/>
  <c r="C47" i="1"/>
  <c r="F65" i="10"/>
  <c r="F66" i="10"/>
  <c r="J26" i="8"/>
  <c r="J31" i="8"/>
  <c r="J38" i="1"/>
  <c r="K32" i="5"/>
  <c r="F32" i="12"/>
  <c r="J30" i="6"/>
  <c r="F49" i="15"/>
  <c r="F54" i="15"/>
  <c r="I49" i="15"/>
  <c r="I54" i="15"/>
  <c r="H49" i="15"/>
  <c r="H54" i="15"/>
  <c r="F32" i="14"/>
  <c r="F36" i="14"/>
  <c r="G49" i="15"/>
  <c r="G54" i="15"/>
  <c r="K65" i="1"/>
  <c r="K61" i="10"/>
  <c r="K66" i="10"/>
  <c r="J95" i="10"/>
  <c r="J100" i="10"/>
  <c r="K26" i="8"/>
  <c r="K31" i="8"/>
  <c r="I27" i="12"/>
  <c r="I32" i="12"/>
  <c r="D95" i="1"/>
  <c r="D93" i="1"/>
  <c r="I27" i="11"/>
  <c r="I32" i="11"/>
  <c r="J63" i="1"/>
  <c r="D100" i="1"/>
  <c r="M29" i="5"/>
  <c r="M30" i="5"/>
  <c r="M32" i="5"/>
  <c r="D34" i="5" a="1"/>
  <c r="D34" i="5"/>
  <c r="J27" i="11"/>
  <c r="J32" i="11"/>
  <c r="F27" i="11"/>
  <c r="I27" i="13"/>
  <c r="I32" i="13"/>
  <c r="F31" i="11"/>
  <c r="E27" i="11"/>
  <c r="J26" i="7"/>
  <c r="J30" i="7"/>
  <c r="G38" i="1"/>
  <c r="E31" i="11"/>
  <c r="H12" i="9"/>
  <c r="K75" i="1"/>
  <c r="G31" i="11"/>
  <c r="I19" i="14"/>
  <c r="D32" i="6" a="1"/>
  <c r="D32" i="6"/>
  <c r="D33" i="6"/>
  <c r="I27" i="10"/>
  <c r="I32" i="10"/>
  <c r="I18" i="14"/>
  <c r="F67" i="1"/>
  <c r="F84" i="1"/>
  <c r="G32" i="14"/>
  <c r="G36" i="14"/>
  <c r="E38" i="1"/>
  <c r="J49" i="15"/>
  <c r="J54" i="15"/>
  <c r="D90" i="1"/>
  <c r="I12" i="9"/>
  <c r="K27" i="11"/>
  <c r="K32" i="11"/>
  <c r="G27" i="11"/>
  <c r="G32" i="11"/>
  <c r="K26" i="7"/>
  <c r="K30" i="7"/>
  <c r="J27" i="10"/>
  <c r="J32" i="10"/>
  <c r="G67" i="1"/>
  <c r="G84" i="1"/>
  <c r="F38" i="1"/>
  <c r="L26" i="8"/>
  <c r="L31" i="8"/>
  <c r="K63" i="1"/>
  <c r="J18" i="14"/>
  <c r="H79" i="1"/>
  <c r="J27" i="12"/>
  <c r="J32" i="12"/>
  <c r="J27" i="13"/>
  <c r="J32" i="13"/>
  <c r="K95" i="10"/>
  <c r="K100" i="10"/>
  <c r="L77" i="1"/>
  <c r="L65" i="1"/>
  <c r="F32" i="11"/>
  <c r="H38" i="1"/>
  <c r="J19" i="14"/>
  <c r="L61" i="10"/>
  <c r="L66" i="10"/>
  <c r="M61" i="10"/>
  <c r="M26" i="8"/>
  <c r="L75" i="1"/>
  <c r="E32" i="11"/>
  <c r="D35" i="5"/>
  <c r="H32" i="14"/>
  <c r="H36" i="14"/>
  <c r="M63" i="10"/>
  <c r="M64" i="10"/>
  <c r="M66" i="10"/>
  <c r="G45" i="1"/>
  <c r="K49" i="15"/>
  <c r="K54" i="15"/>
  <c r="I32" i="14"/>
  <c r="I36" i="14"/>
  <c r="I79" i="1"/>
  <c r="L27" i="11"/>
  <c r="L32" i="11"/>
  <c r="L26" i="7"/>
  <c r="L30" i="7"/>
  <c r="H45" i="1"/>
  <c r="K27" i="13"/>
  <c r="K32" i="13"/>
  <c r="M27" i="11"/>
  <c r="M26" i="7"/>
  <c r="M75" i="1"/>
  <c r="M28" i="8"/>
  <c r="M29" i="8"/>
  <c r="M31" i="8"/>
  <c r="D33" i="8" a="1"/>
  <c r="D33" i="8"/>
  <c r="K19" i="14"/>
  <c r="M95" i="10"/>
  <c r="L95" i="10"/>
  <c r="L100" i="10"/>
  <c r="H67" i="1"/>
  <c r="H84" i="1"/>
  <c r="K27" i="10"/>
  <c r="K32" i="10"/>
  <c r="K27" i="12"/>
  <c r="K32" i="12"/>
  <c r="L63" i="1"/>
  <c r="D68" i="10"/>
  <c r="D67" i="10" a="1"/>
  <c r="D67" i="10"/>
  <c r="M77" i="1"/>
  <c r="M65" i="1"/>
  <c r="K18" i="14"/>
  <c r="J12" i="9"/>
  <c r="M27" i="10"/>
  <c r="L49" i="15"/>
  <c r="L54" i="15"/>
  <c r="M97" i="10"/>
  <c r="M98" i="10"/>
  <c r="M27" i="12"/>
  <c r="I67" i="1"/>
  <c r="I84" i="1"/>
  <c r="J45" i="1"/>
  <c r="I45" i="1"/>
  <c r="M29" i="11"/>
  <c r="M30" i="11"/>
  <c r="M32" i="11"/>
  <c r="D34" i="11"/>
  <c r="L27" i="10"/>
  <c r="L32" i="10"/>
  <c r="C75" i="1"/>
  <c r="N63" i="1"/>
  <c r="C63" i="1"/>
  <c r="E92" i="1"/>
  <c r="M27" i="7"/>
  <c r="M28" i="7"/>
  <c r="M30" i="7"/>
  <c r="D32" i="7" a="1"/>
  <c r="D32" i="7"/>
  <c r="L27" i="12"/>
  <c r="L32" i="12"/>
  <c r="M27" i="13"/>
  <c r="L18" i="14"/>
  <c r="C77" i="1"/>
  <c r="N65" i="1"/>
  <c r="C65" i="1"/>
  <c r="E94" i="1"/>
  <c r="D94" i="1"/>
  <c r="M49" i="15"/>
  <c r="L19" i="14"/>
  <c r="M19" i="14"/>
  <c r="M63" i="1"/>
  <c r="L27" i="13"/>
  <c r="L32" i="13"/>
  <c r="D34" i="8"/>
  <c r="K32" i="14"/>
  <c r="K36" i="14"/>
  <c r="J32" i="14"/>
  <c r="J36" i="14"/>
  <c r="M51" i="15"/>
  <c r="M52" i="15"/>
  <c r="M54" i="15"/>
  <c r="D56" i="15"/>
  <c r="J67" i="1"/>
  <c r="J84" i="1"/>
  <c r="M29" i="13"/>
  <c r="M30" i="13"/>
  <c r="M32" i="13"/>
  <c r="M29" i="12"/>
  <c r="M30" i="12"/>
  <c r="D33" i="7"/>
  <c r="M100" i="10"/>
  <c r="D33" i="11" a="1"/>
  <c r="D33" i="11"/>
  <c r="M18" i="14"/>
  <c r="J31" i="9"/>
  <c r="J32" i="9"/>
  <c r="K79" i="1"/>
  <c r="M29" i="10"/>
  <c r="M30" i="10"/>
  <c r="L79" i="1"/>
  <c r="M32" i="12"/>
  <c r="D102" i="10"/>
  <c r="D101" i="10" a="1"/>
  <c r="D101" i="10"/>
  <c r="D35" i="13"/>
  <c r="D34" i="13" a="1"/>
  <c r="D34" i="13"/>
  <c r="L45" i="1"/>
  <c r="K67" i="1"/>
  <c r="K84" i="1"/>
  <c r="D33" i="9" a="1"/>
  <c r="D33" i="9"/>
  <c r="D34" i="9"/>
  <c r="M32" i="10"/>
  <c r="K37" i="1"/>
  <c r="K38" i="1"/>
  <c r="D55" i="15" a="1"/>
  <c r="D55" i="15"/>
  <c r="L32" i="14"/>
  <c r="C39" i="1"/>
  <c r="M79" i="1"/>
  <c r="D33" i="10" a="1"/>
  <c r="D33" i="10"/>
  <c r="D34" i="10"/>
  <c r="D34" i="12"/>
  <c r="D33" i="12" a="1"/>
  <c r="D33" i="12"/>
  <c r="L67" i="1"/>
  <c r="L84" i="1"/>
  <c r="C37" i="1"/>
  <c r="C38" i="1"/>
  <c r="C17" i="1"/>
  <c r="M67" i="1"/>
  <c r="M84" i="1"/>
  <c r="C48" i="1"/>
  <c r="L33" i="14"/>
  <c r="L34" i="14"/>
  <c r="M45" i="1"/>
  <c r="N102" i="1"/>
  <c r="N100" i="1"/>
  <c r="N95" i="1"/>
  <c r="N99" i="1"/>
  <c r="K45" i="1"/>
  <c r="C41" i="1"/>
  <c r="D92" i="1"/>
  <c r="N67" i="1"/>
  <c r="C67" i="1"/>
  <c r="E96" i="1"/>
  <c r="D96" i="1"/>
  <c r="C79" i="1"/>
  <c r="E112" i="1"/>
  <c r="N43" i="1"/>
  <c r="J55" i="1"/>
  <c r="C42" i="1"/>
  <c r="M51" i="1"/>
  <c r="N96" i="1"/>
  <c r="M95" i="1"/>
  <c r="D112" i="1"/>
  <c r="M97" i="1"/>
  <c r="L36" i="14"/>
  <c r="K92" i="1"/>
  <c r="N92" i="1"/>
  <c r="N93" i="1"/>
  <c r="C46" i="1"/>
  <c r="C43" i="1"/>
  <c r="N45" i="1"/>
  <c r="D37" i="14" a="1"/>
  <c r="D37" i="14"/>
  <c r="D38" i="14"/>
  <c r="M96" i="1"/>
  <c r="N49" i="1" a="1"/>
  <c r="N49" i="1"/>
  <c r="L50" i="1"/>
  <c r="L51" i="1"/>
  <c r="N101" i="1"/>
  <c r="N103" i="1"/>
  <c r="I50" i="1"/>
  <c r="J50" i="1"/>
  <c r="K50" i="1"/>
  <c r="H50" i="1"/>
  <c r="H51" i="1"/>
  <c r="G50" i="1"/>
  <c r="G51" i="1"/>
  <c r="F50" i="1"/>
  <c r="K104" i="1"/>
  <c r="K51" i="1"/>
  <c r="N104" i="1"/>
  <c r="I51" i="1"/>
  <c r="J51" i="1"/>
  <c r="N51" i="1"/>
  <c r="C49" i="1"/>
  <c r="C50" i="1"/>
  <c r="F51" i="1"/>
  <c r="C52" i="1" a="1"/>
  <c r="C54" i="1"/>
  <c r="C45" i="1"/>
  <c r="C51" i="1"/>
  <c r="C52" i="1"/>
  <c r="C55" i="1"/>
</calcChain>
</file>

<file path=xl/comments1.xml><?xml version="1.0" encoding="utf-8"?>
<comments xmlns="http://schemas.openxmlformats.org/spreadsheetml/2006/main">
  <authors>
    <author/>
  </authors>
  <commentList>
    <comment ref="B7" authorId="0">
      <text>
        <r>
          <rPr>
            <sz val="10"/>
            <color rgb="FF000000"/>
            <rFont val="Arial"/>
          </rPr>
          <t>Not clear what this is
	-Shruti GowriSrikar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9" authorId="0">
      <text>
        <r>
          <rPr>
            <sz val="10"/>
            <color rgb="FF000000"/>
            <rFont val="Arial"/>
          </rPr>
          <t>Not sure if we need to have this here.
	-Shruti GowriSrikar</t>
        </r>
      </text>
    </comment>
  </commentList>
</comments>
</file>

<file path=xl/sharedStrings.xml><?xml version="1.0" encoding="utf-8"?>
<sst xmlns="http://schemas.openxmlformats.org/spreadsheetml/2006/main" count="1339" uniqueCount="403">
  <si>
    <t>A</t>
  </si>
  <si>
    <t>1. Summary Pro Forma</t>
  </si>
  <si>
    <t>General</t>
  </si>
  <si>
    <t>Team</t>
  </si>
  <si>
    <t>B</t>
  </si>
  <si>
    <t>C</t>
  </si>
  <si>
    <t>Finance</t>
  </si>
  <si>
    <t>A According to the brief</t>
  </si>
  <si>
    <t>Inflation</t>
  </si>
  <si>
    <t>B According to the brief</t>
  </si>
  <si>
    <t>C According to the brief</t>
  </si>
  <si>
    <t>CAP Rate (NPV, IRR)</t>
  </si>
  <si>
    <t>CAP Rate (Asset Value)</t>
  </si>
  <si>
    <t>Cost of Sale</t>
  </si>
  <si>
    <t>Construction</t>
  </si>
  <si>
    <t>Demolition/Remediation Cost per SF</t>
  </si>
  <si>
    <t>Totals</t>
  </si>
  <si>
    <t>Demolition Area in Parcel A</t>
  </si>
  <si>
    <t>Year 0</t>
  </si>
  <si>
    <t>Phase I</t>
  </si>
  <si>
    <t>Phase II</t>
  </si>
  <si>
    <t>Phase III</t>
  </si>
  <si>
    <t>Phase IV</t>
  </si>
  <si>
    <t>Subsidies</t>
  </si>
  <si>
    <t>2017-2018</t>
  </si>
  <si>
    <t>factors</t>
  </si>
  <si>
    <t>Demolition Area in Parcel B</t>
  </si>
  <si>
    <t>Infrastructure Cost per SF</t>
  </si>
  <si>
    <t>Soft Costs (As percent of Hard Costs)</t>
  </si>
  <si>
    <t>Total Construction Costs</t>
  </si>
  <si>
    <t xml:space="preserve">Net Operating Income </t>
  </si>
  <si>
    <t>`</t>
  </si>
  <si>
    <t>Residential</t>
  </si>
  <si>
    <t>Upscale</t>
  </si>
  <si>
    <t>Rental Housing</t>
  </si>
  <si>
    <t>Eligible Basis</t>
  </si>
  <si>
    <t>Apllicable Amount</t>
  </si>
  <si>
    <t>Qailified Basis</t>
  </si>
  <si>
    <t>Condominimus</t>
  </si>
  <si>
    <t>Annual Credit</t>
  </si>
  <si>
    <t>Mid Range</t>
  </si>
  <si>
    <t>Affordable</t>
  </si>
  <si>
    <t>Live Work Lofts</t>
  </si>
  <si>
    <t>Condominiums</t>
  </si>
  <si>
    <t>Income</t>
  </si>
  <si>
    <t>Midscale</t>
  </si>
  <si>
    <t>Total Credits for 10 years</t>
  </si>
  <si>
    <t>Tax Credit Syndication</t>
  </si>
  <si>
    <t>Sale price per SF</t>
  </si>
  <si>
    <t>Tax Credit Synd.</t>
  </si>
  <si>
    <t>Tota:</t>
  </si>
  <si>
    <t>Work Res Lofts</t>
  </si>
  <si>
    <t>Monthly Rent per SF</t>
  </si>
  <si>
    <t>Average Unit Size (SF)</t>
  </si>
  <si>
    <t>Monthly Operating Expenses per SF</t>
  </si>
  <si>
    <t>Construction Costs per SF</t>
  </si>
  <si>
    <t>Soft costs (% of Hard costs)</t>
  </si>
  <si>
    <t>Total Built Area</t>
  </si>
  <si>
    <t>Rentable Area</t>
  </si>
  <si>
    <t>No. of Units</t>
  </si>
  <si>
    <t>Light Industry and Workshops</t>
  </si>
  <si>
    <t>Cap Rate</t>
  </si>
  <si>
    <t>Retail</t>
  </si>
  <si>
    <t>phase i</t>
  </si>
  <si>
    <t>phase ii</t>
  </si>
  <si>
    <t>phase iii</t>
  </si>
  <si>
    <t>Infrastructure</t>
  </si>
  <si>
    <t>Hotel</t>
  </si>
  <si>
    <t>Offices</t>
  </si>
  <si>
    <t>Work Res</t>
  </si>
  <si>
    <t>Upscale Res</t>
  </si>
  <si>
    <t>Factors</t>
  </si>
  <si>
    <t>Food Market</t>
  </si>
  <si>
    <t>Width</t>
  </si>
  <si>
    <t>Length</t>
  </si>
  <si>
    <t>Area (W x L)</t>
  </si>
  <si>
    <t>Construction price</t>
  </si>
  <si>
    <t>Light Industry</t>
  </si>
  <si>
    <t>Affirdable Res</t>
  </si>
  <si>
    <t>Market Res</t>
  </si>
  <si>
    <t>Willow St</t>
  </si>
  <si>
    <t>Demolition</t>
  </si>
  <si>
    <t>Wabansia</t>
  </si>
  <si>
    <t>Market</t>
  </si>
  <si>
    <t>Concord</t>
  </si>
  <si>
    <t>Public structures</t>
  </si>
  <si>
    <t>N Throop Ave</t>
  </si>
  <si>
    <r>
      <t>Bri</t>
    </r>
    <r>
      <rPr>
        <sz val="10"/>
        <color rgb="FF000000"/>
        <rFont val="Arial"/>
      </rPr>
      <t>Bridge 1</t>
    </r>
  </si>
  <si>
    <t>Bridge 2</t>
  </si>
  <si>
    <t>Bridge 4</t>
  </si>
  <si>
    <t>Total Vehicular Roads</t>
  </si>
  <si>
    <t>Structured Parking</t>
  </si>
  <si>
    <t>Food Plaza Ext</t>
  </si>
  <si>
    <t>Bridge 3</t>
  </si>
  <si>
    <t>The Hotel Bridge</t>
  </si>
  <si>
    <t>District Plaza</t>
  </si>
  <si>
    <t>Innovation Plaza</t>
  </si>
  <si>
    <t>River west trail</t>
  </si>
  <si>
    <t>River east trail</t>
  </si>
  <si>
    <t>The Park Bridge</t>
  </si>
  <si>
    <t>The North Throop Bridge</t>
  </si>
  <si>
    <t>606 Finkl Bridge</t>
  </si>
  <si>
    <t>Total Net Operating Income</t>
  </si>
  <si>
    <t>Total Bridges</t>
  </si>
  <si>
    <t>Food Plaza</t>
  </si>
  <si>
    <t>Near Condo (North)</t>
  </si>
  <si>
    <t>Development Costs</t>
  </si>
  <si>
    <t>Near Plaza (Can be added to Plaza)</t>
  </si>
  <si>
    <t>Food Plaza Extn.</t>
  </si>
  <si>
    <t>Total Plazas</t>
  </si>
  <si>
    <t>River trails</t>
  </si>
  <si>
    <t>Water Taxi</t>
  </si>
  <si>
    <t>Installations</t>
  </si>
  <si>
    <t>Green Roofs</t>
  </si>
  <si>
    <t>Installation Cost per Tree</t>
  </si>
  <si>
    <t>Total:</t>
  </si>
  <si>
    <t>Sidewalk Construction per SF</t>
  </si>
  <si>
    <t>Park/Landscaping Costs per sF</t>
  </si>
  <si>
    <t>Vehicular Road Construction Costs per SF</t>
  </si>
  <si>
    <t>Bridge Construction Costs per SF</t>
  </si>
  <si>
    <t>Landmarks and Environmental Installation</t>
  </si>
  <si>
    <t>Sustainability</t>
  </si>
  <si>
    <t>Green Roof Construction Cost per SF</t>
  </si>
  <si>
    <t>Stormwater system</t>
  </si>
  <si>
    <t>Startup Incubator</t>
  </si>
  <si>
    <t>Shared workshops and labs</t>
  </si>
  <si>
    <t>Office spaces</t>
  </si>
  <si>
    <t>Education &amp; Conference</t>
  </si>
  <si>
    <t>Private Rate Rent per SF</t>
  </si>
  <si>
    <t>Community Rate Rent per SF</t>
  </si>
  <si>
    <t>Shuffle Rate Rent per SF</t>
  </si>
  <si>
    <t>Average Rent</t>
  </si>
  <si>
    <t>Operating Expenses per SF</t>
  </si>
  <si>
    <t>Costs of Marketing</t>
  </si>
  <si>
    <t>Total Built Area (SF)</t>
  </si>
  <si>
    <t>LEED Volume</t>
  </si>
  <si>
    <t>Rentable Spaces</t>
  </si>
  <si>
    <t>Food market</t>
  </si>
  <si>
    <t>Restaurant/Bars</t>
  </si>
  <si>
    <t>Shops</t>
  </si>
  <si>
    <t>Average Size (SF)</t>
  </si>
  <si>
    <t xml:space="preserve">Food Market Stall Rent (Monthly) </t>
  </si>
  <si>
    <t xml:space="preserve">Food Market Stand Rent (Monthly) </t>
  </si>
  <si>
    <t>Food Market Average Slot Area</t>
  </si>
  <si>
    <t xml:space="preserve">Premium Rent per SF (Monthly) </t>
  </si>
  <si>
    <t xml:space="preserve">Regular Rent per SF (Monthly) </t>
  </si>
  <si>
    <t xml:space="preserve">Operating Expenses per SF (Monthly) </t>
  </si>
  <si>
    <t>Average Room Size (SF)</t>
  </si>
  <si>
    <t>Average Daily Room Rate</t>
  </si>
  <si>
    <t xml:space="preserve">Avergae Banquet Rent </t>
  </si>
  <si>
    <t>Annual Operating Expenses</t>
  </si>
  <si>
    <t>Annual Overhead Expenses</t>
  </si>
  <si>
    <t>Land Acquisition/Land Lease</t>
  </si>
  <si>
    <t>Structure Parking Construction Cost per SF</t>
  </si>
  <si>
    <t>Remediation</t>
  </si>
  <si>
    <t>Square Feet per Space</t>
  </si>
  <si>
    <t>Total Acquisition Costs</t>
  </si>
  <si>
    <t>Parking Potential</t>
  </si>
  <si>
    <t>Monthly Rental</t>
  </si>
  <si>
    <t>Work Rental Fees</t>
  </si>
  <si>
    <t>Work Rental Spaces</t>
  </si>
  <si>
    <t>Total Hard Construction Costs</t>
  </si>
  <si>
    <t>(24 Hours, all 7 days)</t>
  </si>
  <si>
    <t>Occupancy</t>
  </si>
  <si>
    <t>Residential (Condominium) Rental Fees</t>
  </si>
  <si>
    <t>Residential (Condominium) Rental Spaces</t>
  </si>
  <si>
    <t>Total Soft Costs</t>
  </si>
  <si>
    <t>Hourly Rental</t>
  </si>
  <si>
    <t>Condo Parking for Commercial</t>
  </si>
  <si>
    <t>Hotel &amp; Commercial Parking Spaces</t>
  </si>
  <si>
    <t>Total Development Costs</t>
  </si>
  <si>
    <t>Hourly Parking Rate</t>
  </si>
  <si>
    <t>Financing</t>
  </si>
  <si>
    <t>Loans</t>
  </si>
  <si>
    <t>Annual Cash Flow</t>
  </si>
  <si>
    <t>Subsidy</t>
  </si>
  <si>
    <t>Equity</t>
  </si>
  <si>
    <t>Net Operating Income</t>
  </si>
  <si>
    <t>Acquisition loan</t>
  </si>
  <si>
    <t>Phase 1 construction</t>
  </si>
  <si>
    <t>Phase 2 construction</t>
  </si>
  <si>
    <t>Phase 3 construction</t>
  </si>
  <si>
    <t>Permanent Loan</t>
  </si>
  <si>
    <t>TIF</t>
  </si>
  <si>
    <t>Tax Credits</t>
  </si>
  <si>
    <t>Investor Equity</t>
  </si>
  <si>
    <t>Loan To Value ratio</t>
  </si>
  <si>
    <t xml:space="preserve">Total Asset Value </t>
  </si>
  <si>
    <t>Loan Interest rate</t>
  </si>
  <si>
    <t>Loan Term</t>
  </si>
  <si>
    <t>Payoff at EOY</t>
  </si>
  <si>
    <t>Purpose</t>
  </si>
  <si>
    <t>THE A acquisition and demolition</t>
  </si>
  <si>
    <t>Hotel &amp; 2 Offices &amp; Ped trail 1 &amp; soundstage</t>
  </si>
  <si>
    <t>Rest of offices &amp; plazas and trails</t>
  </si>
  <si>
    <t>Residential &amp; 606 Trail</t>
  </si>
  <si>
    <t>Public Infrastructure</t>
  </si>
  <si>
    <t>Total Costs of Sale</t>
  </si>
  <si>
    <t>Area Summary</t>
  </si>
  <si>
    <t>Production Hub</t>
  </si>
  <si>
    <t>Unleveraged Net Cash Flow</t>
  </si>
  <si>
    <t>Conference</t>
  </si>
  <si>
    <t>Parking</t>
  </si>
  <si>
    <t xml:space="preserve">Area </t>
  </si>
  <si>
    <t>Floors</t>
  </si>
  <si>
    <t>Total</t>
  </si>
  <si>
    <t>Area</t>
  </si>
  <si>
    <t>Acquisition Loan</t>
  </si>
  <si>
    <t>Construction Loan</t>
  </si>
  <si>
    <t>Debt Service</t>
  </si>
  <si>
    <t>D</t>
  </si>
  <si>
    <t>Other Loans and Grants Cash Flow</t>
  </si>
  <si>
    <t>E</t>
  </si>
  <si>
    <t>F</t>
  </si>
  <si>
    <t>G</t>
  </si>
  <si>
    <t>Laveraged Net Cash Flow</t>
  </si>
  <si>
    <t>H</t>
  </si>
  <si>
    <t>I</t>
  </si>
  <si>
    <t>Net Present Value</t>
  </si>
  <si>
    <t>J</t>
  </si>
  <si>
    <t>Totals:</t>
  </si>
  <si>
    <t>Loan to Value Ratio (LVR)</t>
  </si>
  <si>
    <t>Legend &amp; Additional Information</t>
  </si>
  <si>
    <t>Foor Market</t>
  </si>
  <si>
    <t>Unleveraged IRR Before Taxes</t>
  </si>
  <si>
    <t>Educational Spaces</t>
  </si>
  <si>
    <t>Current Site Value (start of Year 0)</t>
  </si>
  <si>
    <t>Live Work Parking</t>
  </si>
  <si>
    <t>Upscale Housing</t>
  </si>
  <si>
    <t>Leveraged IRR Before Taxes</t>
  </si>
  <si>
    <t>Projected Site Value (end of Year 10)</t>
  </si>
  <si>
    <t>Condminium Parking</t>
  </si>
  <si>
    <t>Mid Range Housing</t>
  </si>
  <si>
    <t>Workshops/ Labs</t>
  </si>
  <si>
    <t>Hotel Parking</t>
  </si>
  <si>
    <t>Incubators</t>
  </si>
  <si>
    <t>2. Multiyear Development Program</t>
  </si>
  <si>
    <t>Affordable Housing</t>
  </si>
  <si>
    <t>TOTAL</t>
  </si>
  <si>
    <t>Year-by-Year Cumulative Absorption</t>
  </si>
  <si>
    <t>Total Buildout</t>
  </si>
  <si>
    <t>Area (SF)</t>
  </si>
  <si>
    <t>For Shannon</t>
  </si>
  <si>
    <t>(units)</t>
  </si>
  <si>
    <t>Inflation Factor</t>
  </si>
  <si>
    <t>(2BR units)</t>
  </si>
  <si>
    <t>(s.f.)</t>
  </si>
  <si>
    <t>(slots)</t>
  </si>
  <si>
    <t>Total Costs</t>
  </si>
  <si>
    <t>(rooms)</t>
  </si>
  <si>
    <t>(spaces)</t>
  </si>
  <si>
    <t>Project Buildout by Area</t>
  </si>
  <si>
    <t>3. Unit Development and Infrastructure Costs</t>
  </si>
  <si>
    <t>4. Equity and Financing Sources</t>
  </si>
  <si>
    <t>Loans Data</t>
  </si>
  <si>
    <t>Unit</t>
  </si>
  <si>
    <t>Unit Cost</t>
  </si>
  <si>
    <t>Total Units</t>
  </si>
  <si>
    <t>Amount</t>
  </si>
  <si>
    <t>% of Chapter</t>
  </si>
  <si>
    <t>% of Total</t>
  </si>
  <si>
    <t>($ per unit)</t>
  </si>
  <si>
    <t>Equity Sources (total)</t>
  </si>
  <si>
    <t>Joint Venture Equity Investor</t>
  </si>
  <si>
    <t>Loan</t>
  </si>
  <si>
    <t>Developer</t>
  </si>
  <si>
    <t>Rate</t>
  </si>
  <si>
    <t>Sub Total</t>
  </si>
  <si>
    <t>Year</t>
  </si>
  <si>
    <t>Financing Sources (total)</t>
  </si>
  <si>
    <t>Phase I Construction Loan</t>
  </si>
  <si>
    <t>For each of the first two years</t>
  </si>
  <si>
    <t>After construction is done:</t>
  </si>
  <si>
    <t>Construction and Long Term Loan Proceeds</t>
  </si>
  <si>
    <t>($ per s.f.)</t>
  </si>
  <si>
    <t>Balloon</t>
  </si>
  <si>
    <t>Only Interest component</t>
  </si>
  <si>
    <t>Interest+Capital</t>
  </si>
  <si>
    <t>($ per slot)</t>
  </si>
  <si>
    <t>($ per room)</t>
  </si>
  <si>
    <t>Tax Increment Financing</t>
  </si>
  <si>
    <t>LIHTC</t>
  </si>
  <si>
    <t>Phase II Construction Loan</t>
  </si>
  <si>
    <t>For each of the first two years:</t>
  </si>
  <si>
    <t>NMTC</t>
  </si>
  <si>
    <t>Infrastructure Costs</t>
  </si>
  <si>
    <t>Illinoi Redevelopment Grant Program</t>
  </si>
  <si>
    <t>Ballon</t>
  </si>
  <si>
    <t>Roads</t>
  </si>
  <si>
    <t>Bridge Construction</t>
  </si>
  <si>
    <t>River Taxi Station</t>
  </si>
  <si>
    <t>Other Hardscaping (not incl. surf. pkg.)</t>
  </si>
  <si>
    <t>Phase III Construction Loan</t>
  </si>
  <si>
    <t>For each of the first three years:</t>
  </si>
  <si>
    <t>Landscaping</t>
  </si>
  <si>
    <t>Demolition and Remediation</t>
  </si>
  <si>
    <t>Acquisition Taxes and Fees</t>
  </si>
  <si>
    <t>Total Infrastructure Costs</t>
  </si>
  <si>
    <t>Upscale Rental Housing</t>
  </si>
  <si>
    <t>Phase IV Construction Loan</t>
  </si>
  <si>
    <t>Invester Equity</t>
  </si>
  <si>
    <t>Component</t>
  </si>
  <si>
    <t>Assumptions</t>
  </si>
  <si>
    <t>Average Unit Size</t>
  </si>
  <si>
    <t>Net Rentable Area</t>
  </si>
  <si>
    <t>Occupancy Factor</t>
  </si>
  <si>
    <t>Total built area (SF)</t>
  </si>
  <si>
    <t>Construction hard costs per SF</t>
  </si>
  <si>
    <t>Construction Cost per SF</t>
  </si>
  <si>
    <t>Operating expenses per SF</t>
  </si>
  <si>
    <t>Soft Cost (Percent of Hard Cost)</t>
  </si>
  <si>
    <t>Percentage of Units Built</t>
  </si>
  <si>
    <t>Percentage of Units Sold</t>
  </si>
  <si>
    <t>Revenue</t>
  </si>
  <si>
    <t>Gross Lease Revenues</t>
  </si>
  <si>
    <t>Net Salable Area</t>
  </si>
  <si>
    <t>Area sold</t>
  </si>
  <si>
    <t>Annual Operating Expenses per SF</t>
  </si>
  <si>
    <t>Sale Price per s.f.</t>
  </si>
  <si>
    <t>Sale Revenues</t>
  </si>
  <si>
    <t>Percent Built by Year</t>
  </si>
  <si>
    <t>Cumulative precent built</t>
  </si>
  <si>
    <t>Cost of Sales</t>
  </si>
  <si>
    <t>Construction Costs</t>
  </si>
  <si>
    <t>Asset Value</t>
  </si>
  <si>
    <t>Costs of Sale</t>
  </si>
  <si>
    <t>Net Cash Flow</t>
  </si>
  <si>
    <t>CAP Rate</t>
  </si>
  <si>
    <t>LIHTC calculation</t>
  </si>
  <si>
    <t>50% Area Median Income for household of 2</t>
  </si>
  <si>
    <t>No more than 33% on housing</t>
  </si>
  <si>
    <t>Rent per month</t>
  </si>
  <si>
    <t>Rent per s.f.</t>
  </si>
  <si>
    <t>Total built area</t>
  </si>
  <si>
    <t>Annual Operating Expenses per s.f.</t>
  </si>
  <si>
    <t>Cummulative precent built</t>
  </si>
  <si>
    <t>Net Rentable Area (SF)</t>
  </si>
  <si>
    <t>Annual Rent per SF</t>
  </si>
  <si>
    <t>Annual Operating expenses per SF</t>
  </si>
  <si>
    <t>Cummulative Percent Built</t>
  </si>
  <si>
    <t>Rent must be under:</t>
  </si>
  <si>
    <t>per SF</t>
  </si>
  <si>
    <t xml:space="preserve"> Annual Rent per S.F.</t>
  </si>
  <si>
    <t>University center</t>
  </si>
  <si>
    <t>Cap rate</t>
  </si>
  <si>
    <t>GLA Absorbed</t>
  </si>
  <si>
    <t>Occupancy factor</t>
  </si>
  <si>
    <t>Average rent per SF</t>
  </si>
  <si>
    <t>Leasing Revenues </t>
  </si>
  <si>
    <t>Operations and Maintenance Expenses</t>
  </si>
  <si>
    <t>Construction costs</t>
  </si>
  <si>
    <t>Soft costs</t>
  </si>
  <si>
    <t>Operating expenses per SF for Offices</t>
  </si>
  <si>
    <t>Total built area light industry + industrial education</t>
  </si>
  <si>
    <t xml:space="preserve">Total built area </t>
  </si>
  <si>
    <t>9. Commercial - Retail'!D22=*</t>
  </si>
  <si>
    <t>Average rent per SF (Annual)</t>
  </si>
  <si>
    <t>Operating expenses per SF (Annual)</t>
  </si>
  <si>
    <t>Return Rate</t>
  </si>
  <si>
    <t>Total Project Buildout (sf)</t>
  </si>
  <si>
    <t>Average Room Size (sf)</t>
  </si>
  <si>
    <t>Number of rooms</t>
  </si>
  <si>
    <t>Banquet Rent per Event</t>
  </si>
  <si>
    <t xml:space="preserve">Banquet Occupancy Factor </t>
  </si>
  <si>
    <t>No. of Spaces</t>
  </si>
  <si>
    <t>Monthly Parking Allocation</t>
  </si>
  <si>
    <t>Work Parking Rent</t>
  </si>
  <si>
    <t xml:space="preserve">Rooms Occupancy Factor </t>
  </si>
  <si>
    <t>Work Parking Spaces</t>
  </si>
  <si>
    <t>Construction Phasing</t>
  </si>
  <si>
    <t>Residential (Condo) Rent</t>
  </si>
  <si>
    <t>Residential (Condo) Spaces</t>
  </si>
  <si>
    <t>Hourly Parking Allocation</t>
  </si>
  <si>
    <t>Parking Rate per Hour</t>
  </si>
  <si>
    <t>Room Revenues</t>
  </si>
  <si>
    <t>Condo Parking Spaces</t>
  </si>
  <si>
    <t>Banquet Revenues</t>
  </si>
  <si>
    <t>Hotel &amp; Commercial Spaces</t>
  </si>
  <si>
    <t>Expenses</t>
  </si>
  <si>
    <t>Other Revenues</t>
  </si>
  <si>
    <t>Total Revenues</t>
  </si>
  <si>
    <t>Parking Revenue</t>
  </si>
  <si>
    <t>Monthly Parking</t>
  </si>
  <si>
    <t>Work</t>
  </si>
  <si>
    <t>Annual Total Overhead Expenses</t>
  </si>
  <si>
    <t>Condo</t>
  </si>
  <si>
    <t>Hourly Parking</t>
  </si>
  <si>
    <t>Commercial</t>
  </si>
  <si>
    <t>Total Parking Revenue</t>
  </si>
  <si>
    <t>Condominium</t>
  </si>
  <si>
    <t>Parking area built per year (SF)</t>
  </si>
  <si>
    <t>Cumulative parking area (SF)</t>
  </si>
  <si>
    <t>Parking spaces built per year</t>
  </si>
  <si>
    <t>Cummulative parking spaces</t>
  </si>
  <si>
    <t>Soft Costs (Percent of Const. Cost)</t>
  </si>
  <si>
    <t xml:space="preserve"> Consrtuction Costs</t>
  </si>
  <si>
    <t>Total Buildings Costs</t>
  </si>
  <si>
    <t>phase iv</t>
  </si>
  <si>
    <t>Office, Incubators, and Education</t>
  </si>
  <si>
    <t>Parcel Values</t>
  </si>
  <si>
    <t>Cummulative Project Buildout by Development Units</t>
  </si>
  <si>
    <t>Phasing</t>
  </si>
  <si>
    <t>Public Subsidies (total)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</si>
</sst>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164" formatCode="&quot;$&quot;#,##0"/>
    <numFmt numFmtId="165" formatCode="&quot;$&quot;#,##0.00"/>
    <numFmt numFmtId="166" formatCode="0.0%"/>
    <numFmt numFmtId="168" formatCode="0.0"/>
  </numFmts>
  <fonts count="25" x14ac:knownFonts="1">
    <font>
      <sz val="10"/>
      <color rgb="FF000000"/>
      <name val="Arial"/>
    </font>
    <font>
      <sz val="10"/>
      <name val="Arial Narrow"/>
    </font>
    <font>
      <b/>
      <sz val="10"/>
      <color rgb="FFFFFFFF"/>
      <name val="Arial"/>
    </font>
    <font>
      <sz val="10"/>
      <color rgb="FFFFFFFF"/>
      <name val="Arial"/>
    </font>
    <font>
      <sz val="10"/>
      <name val="Arial"/>
    </font>
    <font>
      <b/>
      <sz val="10"/>
      <color rgb="FFFFFFFF"/>
      <name val="Arial Narrow"/>
    </font>
    <font>
      <b/>
      <sz val="10"/>
      <name val="Arial Narrow"/>
    </font>
    <font>
      <sz val="10"/>
      <color rgb="FF0000D4"/>
      <name val="Arial Narrow"/>
    </font>
    <font>
      <sz val="10"/>
      <name val="Arial"/>
    </font>
    <font>
      <sz val="10"/>
      <color rgb="FF000000"/>
      <name val="Arial Narrow"/>
    </font>
    <font>
      <sz val="10"/>
      <color rgb="FF00FF00"/>
      <name val="Arial Narrow"/>
    </font>
    <font>
      <sz val="10"/>
      <color rgb="FFD9EAD3"/>
      <name val="Arial Narrow"/>
    </font>
    <font>
      <sz val="10"/>
      <color rgb="FF999999"/>
      <name val="Arial Narrow"/>
    </font>
    <font>
      <b/>
      <sz val="10"/>
      <color rgb="FFDD0806"/>
      <name val="Arial Narrow"/>
    </font>
    <font>
      <b/>
      <sz val="10"/>
      <color rgb="FFFF0000"/>
      <name val="Arial Narrow"/>
    </font>
    <font>
      <sz val="9"/>
      <name val="Arial Narrow"/>
    </font>
    <font>
      <b/>
      <i/>
      <sz val="10"/>
      <name val="Arial Narrow"/>
    </font>
    <font>
      <b/>
      <sz val="10"/>
      <color rgb="FF999999"/>
      <name val="Arial Narrow"/>
    </font>
    <font>
      <b/>
      <sz val="10"/>
      <color rgb="FF000000"/>
      <name val="Arial Narrow"/>
    </font>
    <font>
      <sz val="10"/>
      <color rgb="FFFF0000"/>
      <name val="Arial Narrow"/>
    </font>
    <font>
      <sz val="10"/>
      <color rgb="FFB7B7B7"/>
      <name val="Arial Narrow"/>
    </font>
    <font>
      <sz val="10"/>
      <color rgb="FF000000"/>
      <name val="Arial"/>
    </font>
    <font>
      <u/>
      <sz val="10"/>
      <color theme="10"/>
      <name val="Arial"/>
    </font>
    <font>
      <u/>
      <sz val="10"/>
      <color theme="11"/>
      <name val="Arial"/>
    </font>
    <font>
      <sz val="8"/>
      <name val="Arial"/>
    </font>
  </fonts>
  <fills count="44">
    <fill>
      <patternFill patternType="none"/>
    </fill>
    <fill>
      <patternFill patternType="gray125"/>
    </fill>
    <fill>
      <patternFill patternType="solid">
        <fgColor rgb="FF0B5394"/>
        <bgColor rgb="FF0B5394"/>
      </patternFill>
    </fill>
    <fill>
      <patternFill patternType="solid">
        <fgColor rgb="FF95B3D7"/>
        <bgColor rgb="FF95B3D7"/>
      </patternFill>
    </fill>
    <fill>
      <patternFill patternType="solid">
        <fgColor rgb="FFEFEFEF"/>
        <bgColor rgb="FFEFEFEF"/>
      </patternFill>
    </fill>
    <fill>
      <patternFill patternType="solid">
        <fgColor rgb="FFF2F6FF"/>
        <bgColor rgb="FFF2F6FF"/>
      </patternFill>
    </fill>
    <fill>
      <patternFill patternType="solid">
        <fgColor rgb="FFDBE5F1"/>
        <bgColor rgb="FFDBE5F1"/>
      </patternFill>
    </fill>
    <fill>
      <patternFill patternType="solid">
        <fgColor rgb="FFB8CCE4"/>
        <bgColor rgb="FFB8CCE4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EEECE1"/>
        <bgColor rgb="FFEEECE1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BF9000"/>
        <bgColor rgb="FFBF9000"/>
      </patternFill>
    </fill>
    <fill>
      <patternFill patternType="solid">
        <fgColor rgb="FFFFF2CC"/>
        <bgColor rgb="FFFFF2CC"/>
      </patternFill>
    </fill>
    <fill>
      <patternFill patternType="solid">
        <fgColor rgb="FFEAF1DD"/>
        <bgColor rgb="FFEAF1DD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93C47D"/>
        <bgColor rgb="FF93C47D"/>
      </patternFill>
    </fill>
    <fill>
      <patternFill patternType="solid">
        <fgColor rgb="FF6AA84F"/>
        <bgColor rgb="FF6AA84F"/>
      </patternFill>
    </fill>
    <fill>
      <patternFill patternType="solid">
        <fgColor rgb="FFFCE5CD"/>
        <bgColor rgb="FFFCE5CD"/>
      </patternFill>
    </fill>
    <fill>
      <patternFill patternType="solid">
        <fgColor rgb="FFF9CB9C"/>
        <bgColor rgb="FFF9CB9C"/>
      </patternFill>
    </fill>
    <fill>
      <patternFill patternType="solid">
        <fgColor rgb="FFF4CCCC"/>
        <bgColor rgb="FFF4CCCC"/>
      </patternFill>
    </fill>
    <fill>
      <patternFill patternType="solid">
        <fgColor rgb="FFEAD1DC"/>
        <bgColor rgb="FFEAD1DC"/>
      </patternFill>
    </fill>
    <fill>
      <patternFill patternType="solid">
        <fgColor rgb="FFD5A6BD"/>
        <bgColor rgb="FFD5A6BD"/>
      </patternFill>
    </fill>
    <fill>
      <patternFill patternType="solid">
        <fgColor rgb="FFC27BA0"/>
        <bgColor rgb="FFC27BA0"/>
      </patternFill>
    </fill>
    <fill>
      <patternFill patternType="solid">
        <fgColor rgb="FFA64D79"/>
        <bgColor rgb="FFA64D79"/>
      </patternFill>
    </fill>
    <fill>
      <patternFill patternType="solid">
        <fgColor rgb="FFFFFFFF"/>
        <bgColor rgb="FFFFFFFF"/>
      </patternFill>
    </fill>
    <fill>
      <patternFill patternType="solid">
        <fgColor rgb="FF8E7CC3"/>
        <bgColor rgb="FF8E7CC3"/>
      </patternFill>
    </fill>
    <fill>
      <patternFill patternType="solid">
        <fgColor rgb="FFB4A7D6"/>
        <bgColor rgb="FFB4A7D6"/>
      </patternFill>
    </fill>
    <fill>
      <patternFill patternType="solid">
        <fgColor rgb="FFD9D2E9"/>
        <bgColor rgb="FFD9D2E9"/>
      </patternFill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rgb="FFFABF8F"/>
        <bgColor rgb="FFFABF8F"/>
      </patternFill>
    </fill>
    <fill>
      <patternFill patternType="solid">
        <fgColor rgb="FFE36C09"/>
        <bgColor rgb="FFE36C09"/>
      </patternFill>
    </fill>
    <fill>
      <patternFill patternType="solid">
        <fgColor rgb="FFDD7E6B"/>
        <bgColor rgb="FFDD7E6B"/>
      </patternFill>
    </fill>
    <fill>
      <patternFill patternType="solid">
        <fgColor rgb="FFFFCC00"/>
        <bgColor rgb="FFFFCC00"/>
      </patternFill>
    </fill>
    <fill>
      <patternFill patternType="solid">
        <fgColor rgb="FFFCF305"/>
        <bgColor rgb="FFFCF305"/>
      </patternFill>
    </fill>
    <fill>
      <patternFill patternType="solid">
        <fgColor rgb="FFFFF58C"/>
        <bgColor rgb="FFFFF58C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3F3F3"/>
        <bgColor rgb="FFF3F3F3"/>
      </patternFill>
    </fill>
    <fill>
      <patternFill patternType="solid">
        <fgColor theme="4" tint="0.39997558519241921"/>
        <bgColor rgb="FF95B3D7"/>
      </patternFill>
    </fill>
  </fills>
  <borders count="167"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/>
      <top style="hair">
        <color rgb="FF000000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000000"/>
      </left>
      <right/>
      <top/>
      <bottom/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 style="hair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hair">
        <color rgb="FF000000"/>
      </right>
      <top style="thin">
        <color rgb="FF000000"/>
      </top>
      <bottom style="thin">
        <color rgb="FFFFFFFF"/>
      </bottom>
      <diagonal/>
    </border>
    <border>
      <left style="hair">
        <color rgb="FF000000"/>
      </left>
      <right/>
      <top style="thin">
        <color rgb="FF000000"/>
      </top>
      <bottom style="hair">
        <color rgb="FFFFFFFF"/>
      </bottom>
      <diagonal/>
    </border>
    <border>
      <left/>
      <right/>
      <top style="thin">
        <color rgb="FF000000"/>
      </top>
      <bottom style="hair">
        <color rgb="FFFFFFFF"/>
      </bottom>
      <diagonal/>
    </border>
    <border>
      <left/>
      <right style="hair">
        <color rgb="FF000000"/>
      </right>
      <top style="thin">
        <color rgb="FF000000"/>
      </top>
      <bottom style="hair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 style="hair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000000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000000"/>
      </right>
      <top style="hair">
        <color rgb="FFFFFFFF"/>
      </top>
      <bottom style="hair">
        <color rgb="FFFFFFFF"/>
      </bottom>
      <diagonal/>
    </border>
    <border>
      <left style="thin">
        <color rgb="FFFFFFFF"/>
      </left>
      <right style="hair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/>
      <diagonal/>
    </border>
    <border>
      <left style="hair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hair">
        <color rgb="FF000000"/>
      </left>
      <right style="hair">
        <color rgb="FFFFFFFF"/>
      </right>
      <top style="hair">
        <color rgb="FFFFFFFF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 style="hair">
        <color rgb="FFFFFFFF"/>
      </left>
      <right style="hair">
        <color rgb="FF000000"/>
      </right>
      <top style="hair">
        <color rgb="FFFFFFFF"/>
      </top>
      <bottom/>
      <diagonal/>
    </border>
    <border>
      <left style="thin">
        <color rgb="FFFFFFFF"/>
      </left>
      <right style="hair">
        <color rgb="FF000000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 style="hair">
        <color rgb="FF000000"/>
      </left>
      <right style="thin">
        <color rgb="FFFFFFFF"/>
      </right>
      <top style="dashed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dashed">
        <color rgb="FF000000"/>
      </top>
      <bottom style="thin">
        <color rgb="FFFFFFFF"/>
      </bottom>
      <diagonal/>
    </border>
    <border>
      <left style="thin">
        <color rgb="FFFFFFFF"/>
      </left>
      <right/>
      <top style="dashed">
        <color rgb="FF000000"/>
      </top>
      <bottom style="thin">
        <color rgb="FFFFFFFF"/>
      </bottom>
      <diagonal/>
    </border>
    <border>
      <left style="hair">
        <color rgb="FF000000"/>
      </left>
      <right style="hair">
        <color rgb="FFFFFFFF"/>
      </right>
      <top style="dashed">
        <color rgb="FF000000"/>
      </top>
      <bottom style="thin">
        <color rgb="FFFFFFFF"/>
      </bottom>
      <diagonal/>
    </border>
    <border>
      <left style="hair">
        <color rgb="FFFFFFFF"/>
      </left>
      <right style="hair">
        <color rgb="FFFFFFFF"/>
      </right>
      <top style="dashed">
        <color rgb="FF000000"/>
      </top>
      <bottom style="hair">
        <color rgb="FFFFFFFF"/>
      </bottom>
      <diagonal/>
    </border>
    <border>
      <left style="hair">
        <color rgb="FFFFFFFF"/>
      </left>
      <right style="hair">
        <color rgb="FF000000"/>
      </right>
      <top style="dashed">
        <color rgb="FF000000"/>
      </top>
      <bottom style="hair">
        <color rgb="FFFFFFFF"/>
      </bottom>
      <diagonal/>
    </border>
    <border>
      <left style="thin">
        <color rgb="FFFFFFFF"/>
      </left>
      <right style="hair">
        <color rgb="FF000000"/>
      </right>
      <top style="dashed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dashed">
        <color rgb="FF000000"/>
      </top>
      <bottom style="thin">
        <color rgb="FFFFFFFF"/>
      </bottom>
      <diagonal/>
    </border>
    <border>
      <left style="hair">
        <color rgb="FF000000"/>
      </left>
      <right style="hair">
        <color rgb="FFFFFFFF"/>
      </right>
      <top style="thin">
        <color rgb="FFFFFFFF"/>
      </top>
      <bottom style="thin">
        <color rgb="FFFFFFFF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 style="hair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 style="hair">
        <color rgb="FF000000"/>
      </left>
      <right style="hair">
        <color rgb="FFFFFFFF"/>
      </right>
      <top/>
      <bottom style="thin">
        <color rgb="FF00000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thin">
        <color rgb="FF000000"/>
      </bottom>
      <diagonal/>
    </border>
    <border>
      <left style="hair">
        <color rgb="FFFFFFFF"/>
      </left>
      <right style="hair">
        <color rgb="FF000000"/>
      </right>
      <top style="hair">
        <color rgb="FFFFFFFF"/>
      </top>
      <bottom style="thin">
        <color rgb="FF000000"/>
      </bottom>
      <diagonal/>
    </border>
    <border>
      <left style="thin">
        <color rgb="FFFFFFFF"/>
      </left>
      <right style="hair">
        <color rgb="FF000000"/>
      </right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dashed">
        <color rgb="FF000000"/>
      </top>
      <bottom/>
      <diagonal/>
    </border>
    <border>
      <left style="thin">
        <color rgb="FFFFFFFF"/>
      </left>
      <right style="thin">
        <color rgb="FFFFFFFF"/>
      </right>
      <top style="dashed">
        <color rgb="FF000000"/>
      </top>
      <bottom/>
      <diagonal/>
    </border>
    <border>
      <left style="thin">
        <color rgb="FF000000"/>
      </left>
      <right style="thin">
        <color rgb="FFFFFFFF"/>
      </right>
      <top style="dashed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dashed">
        <color rgb="FF00000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rgb="FF000000"/>
      </top>
      <bottom style="hair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000000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/>
      <diagonal/>
    </border>
    <border>
      <left style="medium">
        <color auto="1"/>
      </left>
      <right/>
      <top style="thin">
        <color rgb="FF000000"/>
      </top>
      <bottom/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hair">
        <color rgb="FF000000"/>
      </right>
      <top style="hair">
        <color rgb="FF000000"/>
      </top>
      <bottom/>
      <diagonal/>
    </border>
    <border>
      <left style="medium">
        <color auto="1"/>
      </left>
      <right style="hair">
        <color rgb="FF000000"/>
      </right>
      <top/>
      <bottom style="hair">
        <color rgb="FF000000"/>
      </bottom>
      <diagonal/>
    </border>
    <border>
      <left style="medium">
        <color auto="1"/>
      </left>
      <right style="hair">
        <color rgb="FF000000"/>
      </right>
      <top/>
      <bottom/>
      <diagonal/>
    </border>
    <border>
      <left style="medium">
        <color auto="1"/>
      </left>
      <right/>
      <top style="hair">
        <color rgb="FF000000"/>
      </top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/>
      <top style="hair">
        <color rgb="FF000000"/>
      </top>
      <bottom style="medium">
        <color auto="1"/>
      </bottom>
      <diagonal/>
    </border>
    <border>
      <left/>
      <right style="hair">
        <color rgb="FF000000"/>
      </right>
      <top/>
      <bottom/>
      <diagonal/>
    </border>
    <border>
      <left/>
      <right style="medium">
        <color auto="1"/>
      </right>
      <top style="hair">
        <color rgb="FF000000"/>
      </top>
      <bottom/>
      <diagonal/>
    </border>
    <border>
      <left style="medium">
        <color auto="1"/>
      </left>
      <right/>
      <top style="hair">
        <color rgb="FF000000"/>
      </top>
      <bottom/>
      <diagonal/>
    </border>
    <border>
      <left style="medium">
        <color auto="1"/>
      </left>
      <right/>
      <top/>
      <bottom style="hair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rgb="FF000000"/>
      </top>
      <bottom style="thin">
        <color auto="1"/>
      </bottom>
      <diagonal/>
    </border>
    <border>
      <left/>
      <right/>
      <top style="hair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 style="hair">
        <color rgb="FF000000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hair">
        <color rgb="FF000000"/>
      </left>
      <right/>
      <top style="thin">
        <color auto="1"/>
      </top>
      <bottom style="thin">
        <color auto="1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medium">
        <color auto="1"/>
      </left>
      <right/>
      <top style="thin">
        <color auto="1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auto="1"/>
      </bottom>
      <diagonal/>
    </border>
    <border>
      <left/>
      <right style="hair">
        <color rgb="FF000000"/>
      </right>
      <top style="thin">
        <color auto="1"/>
      </top>
      <bottom style="hair">
        <color rgb="FF000000"/>
      </bottom>
      <diagonal/>
    </border>
    <border>
      <left style="hair">
        <color auto="1"/>
      </left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 style="medium">
        <color auto="1"/>
      </right>
      <top style="hair">
        <color rgb="FF000000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hair">
        <color rgb="FF000000"/>
      </left>
      <right/>
      <top style="hair">
        <color rgb="FF000000"/>
      </top>
      <bottom style="hair">
        <color auto="1"/>
      </bottom>
      <diagonal/>
    </border>
    <border>
      <left/>
      <right/>
      <top style="hair">
        <color rgb="FF000000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rgb="FF000000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hair">
        <color rgb="FF000000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rgb="FF000000"/>
      </bottom>
      <diagonal/>
    </border>
    <border>
      <left/>
      <right style="thin">
        <color rgb="FF000000"/>
      </right>
      <top style="double">
        <color auto="1"/>
      </top>
      <bottom style="thin">
        <color rgb="FF000000"/>
      </bottom>
      <diagonal/>
    </border>
    <border>
      <left style="double">
        <color auto="1"/>
      </left>
      <right/>
      <top style="thin">
        <color rgb="FF000000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rgb="FF000000"/>
      </right>
      <top/>
      <bottom style="double">
        <color auto="1"/>
      </bottom>
      <diagonal/>
    </border>
    <border>
      <left/>
      <right/>
      <top style="thin">
        <color rgb="FF000000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</borders>
  <cellStyleXfs count="8">
    <xf numFmtId="0" fontId="0" fillId="0" borderId="0"/>
    <xf numFmtId="9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1021">
    <xf numFmtId="0" fontId="0" fillId="0" borderId="0" xfId="0" applyFont="1" applyAlignment="1"/>
    <xf numFmtId="0" fontId="1" fillId="0" borderId="1" xfId="0" applyFont="1" applyBorder="1" applyAlignment="1">
      <alignment horizontal="right"/>
    </xf>
    <xf numFmtId="0" fontId="0" fillId="0" borderId="0" xfId="0" applyFont="1"/>
    <xf numFmtId="0" fontId="1" fillId="0" borderId="2" xfId="0" applyFont="1" applyBorder="1" applyAlignment="1">
      <alignment horizontal="right"/>
    </xf>
    <xf numFmtId="0" fontId="4" fillId="0" borderId="0" xfId="0" applyFont="1"/>
    <xf numFmtId="0" fontId="1" fillId="0" borderId="0" xfId="0" applyFont="1" applyAlignment="1">
      <alignment vertical="center"/>
    </xf>
    <xf numFmtId="0" fontId="1" fillId="3" borderId="8" xfId="0" applyFont="1" applyFill="1" applyBorder="1" applyAlignment="1">
      <alignment horizontal="center"/>
    </xf>
    <xf numFmtId="0" fontId="1" fillId="0" borderId="0" xfId="0" applyFont="1"/>
    <xf numFmtId="0" fontId="6" fillId="0" borderId="9" xfId="0" applyFont="1" applyBorder="1" applyAlignment="1">
      <alignment horizontal="right"/>
    </xf>
    <xf numFmtId="10" fontId="1" fillId="0" borderId="10" xfId="0" applyNumberFormat="1" applyFont="1" applyBorder="1"/>
    <xf numFmtId="0" fontId="1" fillId="0" borderId="9" xfId="0" applyFont="1" applyBorder="1" applyAlignment="1">
      <alignment horizontal="right"/>
    </xf>
    <xf numFmtId="0" fontId="6" fillId="0" borderId="0" xfId="0" applyFont="1"/>
    <xf numFmtId="10" fontId="1" fillId="4" borderId="10" xfId="0" applyNumberFormat="1" applyFont="1" applyFill="1" applyBorder="1"/>
    <xf numFmtId="165" fontId="1" fillId="4" borderId="10" xfId="0" applyNumberFormat="1" applyFont="1" applyFill="1" applyBorder="1"/>
    <xf numFmtId="165" fontId="1" fillId="0" borderId="10" xfId="0" applyNumberFormat="1" applyFont="1" applyBorder="1"/>
    <xf numFmtId="0" fontId="6" fillId="5" borderId="12" xfId="0" applyFont="1" applyFill="1" applyBorder="1"/>
    <xf numFmtId="0" fontId="1" fillId="0" borderId="0" xfId="0" applyFont="1" applyAlignment="1">
      <alignment horizontal="center"/>
    </xf>
    <xf numFmtId="0" fontId="6" fillId="6" borderId="12" xfId="0" applyFont="1" applyFill="1" applyBorder="1"/>
    <xf numFmtId="0" fontId="6" fillId="7" borderId="12" xfId="0" applyFont="1" applyFill="1" applyBorder="1"/>
    <xf numFmtId="0" fontId="1" fillId="7" borderId="12" xfId="0" applyFont="1" applyFill="1" applyBorder="1"/>
    <xf numFmtId="0" fontId="6" fillId="3" borderId="12" xfId="0" applyFont="1" applyFill="1" applyBorder="1"/>
    <xf numFmtId="0" fontId="1" fillId="3" borderId="12" xfId="0" applyFont="1" applyFill="1" applyBorder="1"/>
    <xf numFmtId="0" fontId="1" fillId="0" borderId="12" xfId="0" applyFont="1" applyBorder="1"/>
    <xf numFmtId="0" fontId="6" fillId="8" borderId="12" xfId="0" applyFont="1" applyFill="1" applyBorder="1"/>
    <xf numFmtId="0" fontId="1" fillId="9" borderId="12" xfId="0" applyFont="1" applyFill="1" applyBorder="1"/>
    <xf numFmtId="0" fontId="1" fillId="0" borderId="13" xfId="0" applyFont="1" applyBorder="1" applyAlignment="1">
      <alignment horizontal="center"/>
    </xf>
    <xf numFmtId="0" fontId="6" fillId="9" borderId="12" xfId="0" applyFont="1" applyFill="1" applyBorder="1"/>
    <xf numFmtId="0" fontId="6" fillId="0" borderId="13" xfId="0" applyFont="1" applyBorder="1" applyAlignment="1">
      <alignment horizontal="center"/>
    </xf>
    <xf numFmtId="0" fontId="6" fillId="8" borderId="13" xfId="0" applyFont="1" applyFill="1" applyBorder="1" applyAlignment="1">
      <alignment horizontal="center"/>
    </xf>
    <xf numFmtId="0" fontId="6" fillId="6" borderId="13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/>
    </xf>
    <xf numFmtId="3" fontId="1" fillId="4" borderId="10" xfId="0" applyNumberFormat="1" applyFont="1" applyFill="1" applyBorder="1"/>
    <xf numFmtId="0" fontId="6" fillId="3" borderId="13" xfId="0" applyFont="1" applyFill="1" applyBorder="1" applyAlignment="1">
      <alignment horizontal="center"/>
    </xf>
    <xf numFmtId="0" fontId="1" fillId="0" borderId="15" xfId="0" applyFont="1" applyBorder="1" applyAlignment="1">
      <alignment horizontal="right"/>
    </xf>
    <xf numFmtId="0" fontId="1" fillId="0" borderId="0" xfId="0" applyFont="1" applyAlignment="1">
      <alignment horizontal="right"/>
    </xf>
    <xf numFmtId="9" fontId="1" fillId="4" borderId="16" xfId="0" applyNumberFormat="1" applyFont="1" applyFill="1" applyBorder="1"/>
    <xf numFmtId="0" fontId="1" fillId="8" borderId="0" xfId="0" applyFont="1" applyFill="1" applyBorder="1" applyAlignment="1">
      <alignment horizontal="center"/>
    </xf>
    <xf numFmtId="0" fontId="1" fillId="0" borderId="2" xfId="0" applyFont="1" applyBorder="1"/>
    <xf numFmtId="0" fontId="1" fillId="9" borderId="0" xfId="0" applyFont="1" applyFill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38" fontId="1" fillId="0" borderId="1" xfId="0" applyNumberFormat="1" applyFont="1" applyBorder="1"/>
    <xf numFmtId="164" fontId="9" fillId="7" borderId="1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2" fontId="10" fillId="8" borderId="1" xfId="0" applyNumberFormat="1" applyFont="1" applyFill="1" applyBorder="1" applyAlignment="1">
      <alignment horizontal="center"/>
    </xf>
    <xf numFmtId="2" fontId="1" fillId="9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9" fontId="9" fillId="9" borderId="1" xfId="0" applyNumberFormat="1" applyFont="1" applyFill="1" applyBorder="1" applyAlignment="1">
      <alignment horizontal="center"/>
    </xf>
    <xf numFmtId="9" fontId="9" fillId="7" borderId="1" xfId="0" applyNumberFormat="1" applyFont="1" applyFill="1" applyBorder="1" applyAlignment="1">
      <alignment horizontal="center"/>
    </xf>
    <xf numFmtId="2" fontId="1" fillId="8" borderId="1" xfId="0" applyNumberFormat="1" applyFont="1" applyFill="1" applyBorder="1" applyAlignment="1">
      <alignment horizontal="center"/>
    </xf>
    <xf numFmtId="0" fontId="1" fillId="0" borderId="12" xfId="0" applyFont="1" applyBorder="1" applyAlignment="1">
      <alignment horizontal="right"/>
    </xf>
    <xf numFmtId="0" fontId="1" fillId="11" borderId="22" xfId="0" applyFont="1" applyFill="1" applyBorder="1"/>
    <xf numFmtId="0" fontId="1" fillId="12" borderId="22" xfId="0" applyFont="1" applyFill="1" applyBorder="1"/>
    <xf numFmtId="0" fontId="1" fillId="0" borderId="22" xfId="0" applyFont="1" applyBorder="1"/>
    <xf numFmtId="0" fontId="1" fillId="13" borderId="22" xfId="0" applyFont="1" applyFill="1" applyBorder="1"/>
    <xf numFmtId="0" fontId="1" fillId="14" borderId="10" xfId="0" applyFont="1" applyFill="1" applyBorder="1"/>
    <xf numFmtId="164" fontId="1" fillId="9" borderId="0" xfId="0" applyNumberFormat="1" applyFont="1" applyFill="1" applyBorder="1" applyAlignment="1">
      <alignment horizontal="center"/>
    </xf>
    <xf numFmtId="164" fontId="1" fillId="7" borderId="0" xfId="0" applyNumberFormat="1" applyFont="1" applyFill="1" applyBorder="1" applyAlignment="1">
      <alignment horizontal="center"/>
    </xf>
    <xf numFmtId="0" fontId="1" fillId="0" borderId="10" xfId="0" applyFont="1" applyBorder="1"/>
    <xf numFmtId="38" fontId="1" fillId="0" borderId="1" xfId="0" applyNumberFormat="1" applyFont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38" fontId="1" fillId="6" borderId="1" xfId="0" applyNumberFormat="1" applyFont="1" applyFill="1" applyBorder="1"/>
    <xf numFmtId="0" fontId="1" fillId="0" borderId="13" xfId="0" applyFont="1" applyBorder="1" applyAlignment="1">
      <alignment horizontal="right"/>
    </xf>
    <xf numFmtId="165" fontId="1" fillId="0" borderId="22" xfId="0" applyNumberFormat="1" applyFont="1" applyBorder="1" applyAlignment="1">
      <alignment horizontal="center"/>
    </xf>
    <xf numFmtId="2" fontId="1" fillId="7" borderId="1" xfId="0" applyNumberFormat="1" applyFont="1" applyFill="1" applyBorder="1" applyAlignment="1">
      <alignment horizontal="center"/>
    </xf>
    <xf numFmtId="165" fontId="1" fillId="4" borderId="10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right"/>
    </xf>
    <xf numFmtId="165" fontId="1" fillId="4" borderId="22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64" fontId="1" fillId="4" borderId="22" xfId="0" applyNumberFormat="1" applyFont="1" applyFill="1" applyBorder="1" applyAlignment="1">
      <alignment horizontal="center"/>
    </xf>
    <xf numFmtId="164" fontId="1" fillId="4" borderId="10" xfId="0" applyNumberFormat="1" applyFont="1" applyFill="1" applyBorder="1" applyAlignment="1">
      <alignment horizontal="center"/>
    </xf>
    <xf numFmtId="0" fontId="1" fillId="0" borderId="1" xfId="0" applyFont="1" applyBorder="1"/>
    <xf numFmtId="9" fontId="1" fillId="4" borderId="22" xfId="0" applyNumberFormat="1" applyFont="1" applyFill="1" applyBorder="1" applyAlignment="1">
      <alignment horizontal="center"/>
    </xf>
    <xf numFmtId="9" fontId="1" fillId="4" borderId="10" xfId="0" applyNumberFormat="1" applyFont="1" applyFill="1" applyBorder="1" applyAlignment="1">
      <alignment horizontal="center"/>
    </xf>
    <xf numFmtId="3" fontId="1" fillId="4" borderId="22" xfId="0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2" fontId="1" fillId="6" borderId="1" xfId="0" applyNumberFormat="1" applyFont="1" applyFill="1" applyBorder="1" applyAlignment="1">
      <alignment horizontal="center"/>
    </xf>
    <xf numFmtId="3" fontId="1" fillId="4" borderId="10" xfId="0" applyNumberFormat="1" applyFont="1" applyFill="1" applyBorder="1" applyAlignment="1">
      <alignment horizontal="center"/>
    </xf>
    <xf numFmtId="10" fontId="1" fillId="4" borderId="22" xfId="0" applyNumberFormat="1" applyFont="1" applyFill="1" applyBorder="1" applyAlignment="1">
      <alignment horizontal="center"/>
    </xf>
    <xf numFmtId="10" fontId="1" fillId="4" borderId="10" xfId="0" applyNumberFormat="1" applyFont="1" applyFill="1" applyBorder="1" applyAlignment="1">
      <alignment horizontal="center"/>
    </xf>
    <xf numFmtId="0" fontId="1" fillId="0" borderId="13" xfId="0" applyFont="1" applyBorder="1"/>
    <xf numFmtId="0" fontId="6" fillId="0" borderId="24" xfId="0" applyFont="1" applyBorder="1"/>
    <xf numFmtId="10" fontId="1" fillId="4" borderId="25" xfId="0" applyNumberFormat="1" applyFont="1" applyFill="1" applyBorder="1" applyAlignment="1">
      <alignment horizontal="center"/>
    </xf>
    <xf numFmtId="6" fontId="1" fillId="6" borderId="0" xfId="0" applyNumberFormat="1" applyFont="1" applyFill="1" applyBorder="1" applyAlignment="1">
      <alignment horizontal="center"/>
    </xf>
    <xf numFmtId="9" fontId="1" fillId="4" borderId="25" xfId="0" applyNumberFormat="1" applyFont="1" applyFill="1" applyBorder="1" applyAlignment="1">
      <alignment horizontal="center"/>
    </xf>
    <xf numFmtId="10" fontId="1" fillId="4" borderId="16" xfId="0" applyNumberFormat="1" applyFont="1" applyFill="1" applyBorder="1" applyAlignment="1">
      <alignment horizontal="center"/>
    </xf>
    <xf numFmtId="0" fontId="6" fillId="0" borderId="12" xfId="0" applyFont="1" applyBorder="1"/>
    <xf numFmtId="0" fontId="4" fillId="15" borderId="0" xfId="0" applyFont="1" applyFill="1" applyBorder="1"/>
    <xf numFmtId="0" fontId="4" fillId="13" borderId="0" xfId="0" applyFont="1" applyFill="1" applyBorder="1"/>
    <xf numFmtId="0" fontId="4" fillId="12" borderId="0" xfId="0" applyFont="1" applyFill="1" applyBorder="1"/>
    <xf numFmtId="0" fontId="4" fillId="11" borderId="0" xfId="0" applyFont="1" applyFill="1" applyBorder="1"/>
    <xf numFmtId="0" fontId="6" fillId="16" borderId="22" xfId="0" applyFont="1" applyFill="1" applyBorder="1" applyAlignment="1">
      <alignment horizontal="center"/>
    </xf>
    <xf numFmtId="0" fontId="6" fillId="16" borderId="10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" fillId="17" borderId="0" xfId="0" applyFont="1" applyFill="1" applyBorder="1"/>
    <xf numFmtId="0" fontId="1" fillId="18" borderId="0" xfId="0" applyFont="1" applyFill="1" applyBorder="1"/>
    <xf numFmtId="0" fontId="1" fillId="19" borderId="0" xfId="0" applyFont="1" applyFill="1" applyBorder="1"/>
    <xf numFmtId="0" fontId="1" fillId="20" borderId="0" xfId="0" applyFont="1" applyFill="1" applyBorder="1"/>
    <xf numFmtId="0" fontId="6" fillId="21" borderId="9" xfId="0" applyFont="1" applyFill="1" applyBorder="1" applyAlignment="1">
      <alignment horizontal="right"/>
    </xf>
    <xf numFmtId="0" fontId="4" fillId="21" borderId="22" xfId="0" applyFont="1" applyFill="1" applyBorder="1" applyAlignment="1">
      <alignment horizontal="center"/>
    </xf>
    <xf numFmtId="0" fontId="1" fillId="21" borderId="22" xfId="0" applyFont="1" applyFill="1" applyBorder="1" applyAlignment="1">
      <alignment horizontal="center"/>
    </xf>
    <xf numFmtId="0" fontId="6" fillId="21" borderId="22" xfId="0" applyFont="1" applyFill="1" applyBorder="1" applyAlignment="1">
      <alignment horizontal="center"/>
    </xf>
    <xf numFmtId="165" fontId="6" fillId="4" borderId="10" xfId="0" applyNumberFormat="1" applyFont="1" applyFill="1" applyBorder="1" applyAlignment="1">
      <alignment horizontal="center"/>
    </xf>
    <xf numFmtId="165" fontId="1" fillId="0" borderId="0" xfId="0" applyNumberFormat="1" applyFont="1"/>
    <xf numFmtId="165" fontId="0" fillId="0" borderId="0" xfId="0" applyNumberFormat="1" applyFont="1"/>
    <xf numFmtId="0" fontId="6" fillId="10" borderId="17" xfId="0" applyFont="1" applyFill="1" applyBorder="1" applyAlignment="1">
      <alignment horizontal="left"/>
    </xf>
    <xf numFmtId="38" fontId="1" fillId="10" borderId="17" xfId="0" applyNumberFormat="1" applyFont="1" applyFill="1" applyBorder="1" applyAlignment="1">
      <alignment horizontal="center"/>
    </xf>
    <xf numFmtId="38" fontId="1" fillId="10" borderId="27" xfId="0" applyNumberFormat="1" applyFont="1" applyFill="1" applyBorder="1"/>
    <xf numFmtId="38" fontId="1" fillId="10" borderId="17" xfId="0" applyNumberFormat="1" applyFont="1" applyFill="1" applyBorder="1"/>
    <xf numFmtId="0" fontId="1" fillId="0" borderId="17" xfId="0" applyFont="1" applyBorder="1"/>
    <xf numFmtId="38" fontId="6" fillId="0" borderId="12" xfId="0" applyNumberFormat="1" applyFont="1" applyBorder="1" applyAlignment="1">
      <alignment horizontal="center"/>
    </xf>
    <xf numFmtId="38" fontId="1" fillId="6" borderId="12" xfId="0" applyNumberFormat="1" applyFont="1" applyFill="1" applyBorder="1"/>
    <xf numFmtId="38" fontId="1" fillId="7" borderId="12" xfId="0" applyNumberFormat="1" applyFont="1" applyFill="1" applyBorder="1"/>
    <xf numFmtId="0" fontId="1" fillId="0" borderId="29" xfId="0" applyFont="1" applyBorder="1" applyAlignment="1">
      <alignment horizontal="right"/>
    </xf>
    <xf numFmtId="0" fontId="1" fillId="4" borderId="30" xfId="0" applyFont="1" applyFill="1" applyBorder="1" applyAlignment="1">
      <alignment horizontal="center"/>
    </xf>
    <xf numFmtId="0" fontId="1" fillId="23" borderId="9" xfId="0" applyFont="1" applyFill="1" applyBorder="1" applyAlignment="1">
      <alignment horizontal="right"/>
    </xf>
    <xf numFmtId="165" fontId="1" fillId="23" borderId="22" xfId="0" applyNumberFormat="1" applyFont="1" applyFill="1" applyBorder="1" applyAlignment="1">
      <alignment horizontal="center"/>
    </xf>
    <xf numFmtId="0" fontId="1" fillId="24" borderId="22" xfId="0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23" borderId="15" xfId="0" applyFont="1" applyFill="1" applyBorder="1" applyAlignment="1">
      <alignment horizontal="right"/>
    </xf>
    <xf numFmtId="165" fontId="1" fillId="23" borderId="25" xfId="0" applyNumberFormat="1" applyFont="1" applyFill="1" applyBorder="1" applyAlignment="1">
      <alignment horizontal="center"/>
    </xf>
    <xf numFmtId="0" fontId="1" fillId="3" borderId="0" xfId="0" applyFont="1" applyFill="1" applyBorder="1"/>
    <xf numFmtId="0" fontId="1" fillId="0" borderId="9" xfId="0" applyFont="1" applyBorder="1"/>
    <xf numFmtId="0" fontId="1" fillId="25" borderId="22" xfId="0" applyFont="1" applyFill="1" applyBorder="1" applyAlignment="1">
      <alignment horizontal="center"/>
    </xf>
    <xf numFmtId="0" fontId="1" fillId="26" borderId="22" xfId="0" applyFont="1" applyFill="1" applyBorder="1" applyAlignment="1">
      <alignment horizontal="center"/>
    </xf>
    <xf numFmtId="0" fontId="1" fillId="27" borderId="10" xfId="0" applyFont="1" applyFill="1" applyBorder="1" applyAlignment="1">
      <alignment horizontal="center"/>
    </xf>
    <xf numFmtId="165" fontId="1" fillId="28" borderId="22" xfId="0" applyNumberFormat="1" applyFont="1" applyFill="1" applyBorder="1" applyAlignment="1">
      <alignment horizontal="center"/>
    </xf>
    <xf numFmtId="165" fontId="1" fillId="28" borderId="10" xfId="0" applyNumberFormat="1" applyFont="1" applyFill="1" applyBorder="1" applyAlignment="1">
      <alignment horizontal="center"/>
    </xf>
    <xf numFmtId="165" fontId="9" fillId="4" borderId="10" xfId="0" applyNumberFormat="1" applyFont="1" applyFill="1" applyBorder="1" applyAlignment="1">
      <alignment horizontal="center"/>
    </xf>
    <xf numFmtId="1" fontId="1" fillId="4" borderId="25" xfId="0" applyNumberFormat="1" applyFont="1" applyFill="1" applyBorder="1" applyAlignment="1">
      <alignment horizontal="center"/>
    </xf>
    <xf numFmtId="1" fontId="1" fillId="4" borderId="16" xfId="0" applyNumberFormat="1" applyFont="1" applyFill="1" applyBorder="1" applyAlignment="1">
      <alignment horizontal="center"/>
    </xf>
    <xf numFmtId="0" fontId="1" fillId="19" borderId="0" xfId="0" applyFont="1" applyFill="1" applyBorder="1" applyAlignment="1">
      <alignment horizontal="center"/>
    </xf>
    <xf numFmtId="0" fontId="1" fillId="18" borderId="22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164" fontId="1" fillId="0" borderId="0" xfId="0" applyNumberFormat="1" applyFont="1"/>
    <xf numFmtId="165" fontId="1" fillId="0" borderId="10" xfId="0" applyNumberFormat="1" applyFont="1" applyBorder="1" applyAlignment="1">
      <alignment horizontal="center"/>
    </xf>
    <xf numFmtId="165" fontId="1" fillId="4" borderId="25" xfId="0" applyNumberFormat="1" applyFont="1" applyFill="1" applyBorder="1" applyAlignment="1">
      <alignment horizontal="center"/>
    </xf>
    <xf numFmtId="165" fontId="1" fillId="4" borderId="16" xfId="0" applyNumberFormat="1" applyFont="1" applyFill="1" applyBorder="1" applyAlignment="1">
      <alignment horizontal="center"/>
    </xf>
    <xf numFmtId="165" fontId="1" fillId="0" borderId="16" xfId="0" applyNumberFormat="1" applyFont="1" applyBorder="1"/>
    <xf numFmtId="9" fontId="1" fillId="0" borderId="10" xfId="0" applyNumberFormat="1" applyFont="1" applyBorder="1" applyAlignment="1">
      <alignment horizontal="center"/>
    </xf>
    <xf numFmtId="0" fontId="12" fillId="0" borderId="9" xfId="0" applyFont="1" applyBorder="1" applyAlignment="1">
      <alignment horizontal="right"/>
    </xf>
    <xf numFmtId="1" fontId="12" fillId="0" borderId="10" xfId="0" applyNumberFormat="1" applyFont="1" applyBorder="1" applyAlignment="1">
      <alignment horizontal="center"/>
    </xf>
    <xf numFmtId="0" fontId="1" fillId="29" borderId="9" xfId="0" applyFont="1" applyFill="1" applyBorder="1" applyAlignment="1">
      <alignment horizontal="right"/>
    </xf>
    <xf numFmtId="0" fontId="1" fillId="29" borderId="10" xfId="0" applyFont="1" applyFill="1" applyBorder="1" applyAlignment="1">
      <alignment horizontal="center"/>
    </xf>
    <xf numFmtId="38" fontId="1" fillId="7" borderId="0" xfId="0" applyNumberFormat="1" applyFont="1" applyFill="1" applyBorder="1"/>
    <xf numFmtId="38" fontId="1" fillId="3" borderId="0" xfId="0" applyNumberFormat="1" applyFont="1" applyFill="1" applyBorder="1"/>
    <xf numFmtId="1" fontId="1" fillId="0" borderId="10" xfId="0" applyNumberFormat="1" applyFont="1" applyBorder="1" applyAlignment="1">
      <alignment horizontal="center"/>
    </xf>
    <xf numFmtId="10" fontId="1" fillId="0" borderId="10" xfId="0" applyNumberFormat="1" applyFont="1" applyBorder="1" applyAlignment="1">
      <alignment horizontal="center"/>
    </xf>
    <xf numFmtId="0" fontId="1" fillId="30" borderId="9" xfId="0" applyFont="1" applyFill="1" applyBorder="1" applyAlignment="1">
      <alignment horizontal="right"/>
    </xf>
    <xf numFmtId="0" fontId="1" fillId="30" borderId="10" xfId="0" applyFont="1" applyFill="1" applyBorder="1" applyAlignment="1">
      <alignment horizontal="center"/>
    </xf>
    <xf numFmtId="0" fontId="1" fillId="31" borderId="9" xfId="0" applyFont="1" applyFill="1" applyBorder="1" applyAlignment="1">
      <alignment horizontal="right"/>
    </xf>
    <xf numFmtId="1" fontId="1" fillId="31" borderId="10" xfId="0" applyNumberFormat="1" applyFont="1" applyFill="1" applyBorder="1" applyAlignment="1">
      <alignment horizontal="center"/>
    </xf>
    <xf numFmtId="0" fontId="6" fillId="0" borderId="15" xfId="0" applyFont="1" applyBorder="1" applyAlignment="1">
      <alignment horizontal="right"/>
    </xf>
    <xf numFmtId="165" fontId="1" fillId="0" borderId="16" xfId="0" applyNumberFormat="1" applyFont="1" applyBorder="1" applyAlignment="1">
      <alignment horizontal="center"/>
    </xf>
    <xf numFmtId="0" fontId="6" fillId="10" borderId="4" xfId="0" applyFont="1" applyFill="1" applyBorder="1" applyAlignment="1">
      <alignment horizontal="left"/>
    </xf>
    <xf numFmtId="38" fontId="1" fillId="10" borderId="4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" fillId="4" borderId="22" xfId="0" applyFont="1" applyFill="1" applyBorder="1"/>
    <xf numFmtId="0" fontId="1" fillId="4" borderId="10" xfId="0" applyFont="1" applyFill="1" applyBorder="1"/>
    <xf numFmtId="10" fontId="6" fillId="4" borderId="22" xfId="0" applyNumberFormat="1" applyFont="1" applyFill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13" xfId="0" applyFont="1" applyBorder="1" applyAlignment="1">
      <alignment horizontal="right"/>
    </xf>
    <xf numFmtId="38" fontId="6" fillId="0" borderId="26" xfId="0" applyNumberFormat="1" applyFont="1" applyBorder="1"/>
    <xf numFmtId="0" fontId="1" fillId="0" borderId="44" xfId="0" applyFont="1" applyBorder="1"/>
    <xf numFmtId="0" fontId="1" fillId="0" borderId="45" xfId="0" applyFont="1" applyBorder="1"/>
    <xf numFmtId="0" fontId="1" fillId="0" borderId="33" xfId="0" applyFont="1" applyBorder="1"/>
    <xf numFmtId="0" fontId="1" fillId="0" borderId="46" xfId="0" applyFont="1" applyBorder="1"/>
    <xf numFmtId="0" fontId="1" fillId="0" borderId="47" xfId="0" applyFont="1" applyBorder="1"/>
    <xf numFmtId="0" fontId="1" fillId="0" borderId="48" xfId="0" applyFont="1" applyBorder="1"/>
    <xf numFmtId="38" fontId="1" fillId="0" borderId="12" xfId="0" applyNumberFormat="1" applyFont="1" applyBorder="1"/>
    <xf numFmtId="0" fontId="1" fillId="0" borderId="49" xfId="0" applyFont="1" applyBorder="1"/>
    <xf numFmtId="0" fontId="1" fillId="0" borderId="35" xfId="0" applyFont="1" applyBorder="1"/>
    <xf numFmtId="0" fontId="1" fillId="0" borderId="44" xfId="0" applyFont="1" applyBorder="1" applyAlignment="1">
      <alignment horizontal="right"/>
    </xf>
    <xf numFmtId="0" fontId="1" fillId="12" borderId="46" xfId="0" applyFont="1" applyFill="1" applyBorder="1"/>
    <xf numFmtId="0" fontId="1" fillId="12" borderId="47" xfId="0" applyFont="1" applyFill="1" applyBorder="1"/>
    <xf numFmtId="0" fontId="1" fillId="27" borderId="45" xfId="0" applyFont="1" applyFill="1" applyBorder="1"/>
    <xf numFmtId="0" fontId="1" fillId="27" borderId="22" xfId="0" applyFont="1" applyFill="1" applyBorder="1"/>
    <xf numFmtId="0" fontId="1" fillId="27" borderId="33" xfId="0" applyFont="1" applyFill="1" applyBorder="1"/>
    <xf numFmtId="0" fontId="1" fillId="29" borderId="35" xfId="0" applyFont="1" applyFill="1" applyBorder="1"/>
    <xf numFmtId="0" fontId="1" fillId="29" borderId="22" xfId="0" applyFont="1" applyFill="1" applyBorder="1"/>
    <xf numFmtId="0" fontId="1" fillId="29" borderId="10" xfId="0" applyFont="1" applyFill="1" applyBorder="1"/>
    <xf numFmtId="0" fontId="1" fillId="13" borderId="46" xfId="0" applyFont="1" applyFill="1" applyBorder="1"/>
    <xf numFmtId="0" fontId="1" fillId="13" borderId="47" xfId="0" applyFont="1" applyFill="1" applyBorder="1"/>
    <xf numFmtId="0" fontId="1" fillId="26" borderId="45" xfId="0" applyFont="1" applyFill="1" applyBorder="1"/>
    <xf numFmtId="0" fontId="1" fillId="26" borderId="22" xfId="0" applyFont="1" applyFill="1" applyBorder="1"/>
    <xf numFmtId="0" fontId="1" fillId="26" borderId="33" xfId="0" applyFont="1" applyFill="1" applyBorder="1"/>
    <xf numFmtId="0" fontId="1" fillId="30" borderId="35" xfId="0" applyFont="1" applyFill="1" applyBorder="1"/>
    <xf numFmtId="0" fontId="1" fillId="30" borderId="22" xfId="0" applyFont="1" applyFill="1" applyBorder="1"/>
    <xf numFmtId="0" fontId="1" fillId="30" borderId="10" xfId="0" applyFont="1" applyFill="1" applyBorder="1"/>
    <xf numFmtId="0" fontId="1" fillId="12" borderId="48" xfId="0" applyFont="1" applyFill="1" applyBorder="1"/>
    <xf numFmtId="0" fontId="1" fillId="31" borderId="35" xfId="0" applyFont="1" applyFill="1" applyBorder="1"/>
    <xf numFmtId="0" fontId="1" fillId="31" borderId="22" xfId="0" applyFont="1" applyFill="1" applyBorder="1"/>
    <xf numFmtId="0" fontId="1" fillId="31" borderId="10" xfId="0" applyFont="1" applyFill="1" applyBorder="1"/>
    <xf numFmtId="0" fontId="1" fillId="11" borderId="46" xfId="0" applyFont="1" applyFill="1" applyBorder="1"/>
    <xf numFmtId="0" fontId="1" fillId="11" borderId="47" xfId="0" applyFont="1" applyFill="1" applyBorder="1"/>
    <xf numFmtId="0" fontId="1" fillId="11" borderId="48" xfId="0" applyFont="1" applyFill="1" applyBorder="1"/>
    <xf numFmtId="0" fontId="1" fillId="14" borderId="46" xfId="0" applyFont="1" applyFill="1" applyBorder="1"/>
    <xf numFmtId="0" fontId="1" fillId="14" borderId="47" xfId="0" applyFont="1" applyFill="1" applyBorder="1"/>
    <xf numFmtId="0" fontId="1" fillId="14" borderId="48" xfId="0" applyFont="1" applyFill="1" applyBorder="1"/>
    <xf numFmtId="0" fontId="1" fillId="25" borderId="45" xfId="0" applyFont="1" applyFill="1" applyBorder="1"/>
    <xf numFmtId="0" fontId="1" fillId="25" borderId="22" xfId="0" applyFont="1" applyFill="1" applyBorder="1"/>
    <xf numFmtId="0" fontId="1" fillId="25" borderId="33" xfId="0" applyFont="1" applyFill="1" applyBorder="1"/>
    <xf numFmtId="0" fontId="6" fillId="0" borderId="13" xfId="0" applyFont="1" applyBorder="1"/>
    <xf numFmtId="0" fontId="1" fillId="24" borderId="45" xfId="0" applyFont="1" applyFill="1" applyBorder="1"/>
    <xf numFmtId="0" fontId="1" fillId="24" borderId="22" xfId="0" applyFont="1" applyFill="1" applyBorder="1"/>
    <xf numFmtId="0" fontId="1" fillId="24" borderId="33" xfId="0" applyFont="1" applyFill="1" applyBorder="1"/>
    <xf numFmtId="0" fontId="1" fillId="19" borderId="45" xfId="0" applyFont="1" applyFill="1" applyBorder="1"/>
    <xf numFmtId="0" fontId="1" fillId="19" borderId="22" xfId="0" applyFont="1" applyFill="1" applyBorder="1"/>
    <xf numFmtId="0" fontId="1" fillId="19" borderId="33" xfId="0" applyFont="1" applyFill="1" applyBorder="1"/>
    <xf numFmtId="0" fontId="14" fillId="38" borderId="50" xfId="0" applyFont="1" applyFill="1" applyBorder="1" applyAlignment="1">
      <alignment horizontal="right"/>
    </xf>
    <xf numFmtId="0" fontId="1" fillId="0" borderId="51" xfId="0" applyFont="1" applyBorder="1"/>
    <xf numFmtId="0" fontId="1" fillId="0" borderId="52" xfId="0" applyFont="1" applyBorder="1"/>
    <xf numFmtId="0" fontId="14" fillId="38" borderId="53" xfId="0" applyFont="1" applyFill="1" applyBorder="1"/>
    <xf numFmtId="0" fontId="1" fillId="5" borderId="0" xfId="0" applyFont="1" applyFill="1" applyBorder="1"/>
    <xf numFmtId="0" fontId="1" fillId="0" borderId="54" xfId="0" applyFont="1" applyBorder="1"/>
    <xf numFmtId="0" fontId="1" fillId="6" borderId="0" xfId="0" applyFont="1" applyFill="1" applyBorder="1"/>
    <xf numFmtId="0" fontId="1" fillId="0" borderId="55" xfId="0" applyFont="1" applyBorder="1"/>
    <xf numFmtId="0" fontId="14" fillId="38" borderId="56" xfId="0" applyFont="1" applyFill="1" applyBorder="1"/>
    <xf numFmtId="0" fontId="1" fillId="7" borderId="0" xfId="0" applyFont="1" applyFill="1" applyBorder="1"/>
    <xf numFmtId="0" fontId="14" fillId="38" borderId="57" xfId="0" applyFont="1" applyFill="1" applyBorder="1"/>
    <xf numFmtId="0" fontId="1" fillId="0" borderId="58" xfId="0" applyFont="1" applyBorder="1"/>
    <xf numFmtId="0" fontId="14" fillId="38" borderId="59" xfId="0" applyFont="1" applyFill="1" applyBorder="1"/>
    <xf numFmtId="0" fontId="6" fillId="0" borderId="60" xfId="0" applyFont="1" applyBorder="1" applyAlignment="1">
      <alignment horizontal="right"/>
    </xf>
    <xf numFmtId="0" fontId="1" fillId="19" borderId="61" xfId="0" applyFont="1" applyFill="1" applyBorder="1" applyAlignment="1">
      <alignment horizontal="center"/>
    </xf>
    <xf numFmtId="0" fontId="1" fillId="0" borderId="62" xfId="0" applyFont="1" applyBorder="1"/>
    <xf numFmtId="0" fontId="1" fillId="0" borderId="63" xfId="0" applyFont="1" applyBorder="1"/>
    <xf numFmtId="0" fontId="1" fillId="14" borderId="64" xfId="0" applyFont="1" applyFill="1" applyBorder="1"/>
    <xf numFmtId="0" fontId="1" fillId="0" borderId="65" xfId="0" applyFont="1" applyBorder="1"/>
    <xf numFmtId="0" fontId="1" fillId="0" borderId="66" xfId="0" applyFont="1" applyBorder="1"/>
    <xf numFmtId="0" fontId="1" fillId="0" borderId="61" xfId="0" applyFont="1" applyBorder="1"/>
    <xf numFmtId="0" fontId="1" fillId="0" borderId="67" xfId="0" applyFont="1" applyBorder="1"/>
    <xf numFmtId="0" fontId="1" fillId="27" borderId="61" xfId="0" applyFont="1" applyFill="1" applyBorder="1"/>
    <xf numFmtId="1" fontId="1" fillId="0" borderId="62" xfId="0" applyNumberFormat="1" applyFont="1" applyBorder="1"/>
    <xf numFmtId="0" fontId="1" fillId="0" borderId="68" xfId="0" applyFont="1" applyBorder="1"/>
    <xf numFmtId="0" fontId="1" fillId="18" borderId="45" xfId="0" applyFont="1" applyFill="1" applyBorder="1" applyAlignment="1">
      <alignment horizontal="center"/>
    </xf>
    <xf numFmtId="0" fontId="1" fillId="11" borderId="69" xfId="0" applyFont="1" applyFill="1" applyBorder="1"/>
    <xf numFmtId="9" fontId="1" fillId="0" borderId="13" xfId="0" applyNumberFormat="1" applyFont="1" applyBorder="1" applyAlignment="1">
      <alignment horizontal="center"/>
    </xf>
    <xf numFmtId="1" fontId="1" fillId="0" borderId="22" xfId="0" applyNumberFormat="1" applyFont="1" applyBorder="1"/>
    <xf numFmtId="0" fontId="1" fillId="17" borderId="45" xfId="0" applyFont="1" applyFill="1" applyBorder="1" applyAlignment="1">
      <alignment horizontal="center"/>
    </xf>
    <xf numFmtId="0" fontId="1" fillId="12" borderId="69" xfId="0" applyFont="1" applyFill="1" applyBorder="1"/>
    <xf numFmtId="0" fontId="1" fillId="13" borderId="69" xfId="0" applyFont="1" applyFill="1" applyBorder="1"/>
    <xf numFmtId="0" fontId="6" fillId="0" borderId="0" xfId="0" applyFont="1" applyAlignment="1">
      <alignment horizontal="left" vertical="center"/>
    </xf>
    <xf numFmtId="0" fontId="1" fillId="0" borderId="70" xfId="0" applyFont="1" applyBorder="1"/>
    <xf numFmtId="0" fontId="1" fillId="0" borderId="71" xfId="0" applyFont="1" applyBorder="1"/>
    <xf numFmtId="0" fontId="1" fillId="0" borderId="72" xfId="0" applyFont="1" applyBorder="1"/>
    <xf numFmtId="0" fontId="1" fillId="0" borderId="25" xfId="0" applyFont="1" applyBorder="1"/>
    <xf numFmtId="0" fontId="1" fillId="0" borderId="28" xfId="0" applyFont="1" applyBorder="1"/>
    <xf numFmtId="0" fontId="1" fillId="0" borderId="73" xfId="0" applyFont="1" applyBorder="1"/>
    <xf numFmtId="0" fontId="6" fillId="0" borderId="14" xfId="0" applyFont="1" applyBorder="1" applyAlignment="1">
      <alignment horizontal="center"/>
    </xf>
    <xf numFmtId="0" fontId="1" fillId="0" borderId="74" xfId="0" applyFont="1" applyBorder="1"/>
    <xf numFmtId="0" fontId="1" fillId="0" borderId="75" xfId="0" applyFont="1" applyBorder="1" applyAlignment="1">
      <alignment horizontal="right"/>
    </xf>
    <xf numFmtId="0" fontId="1" fillId="0" borderId="76" xfId="0" applyFont="1" applyBorder="1" applyAlignment="1">
      <alignment horizontal="right"/>
    </xf>
    <xf numFmtId="0" fontId="6" fillId="0" borderId="26" xfId="0" applyFont="1" applyBorder="1" applyAlignment="1">
      <alignment horizontal="center"/>
    </xf>
    <xf numFmtId="0" fontId="1" fillId="0" borderId="77" xfId="0" applyFont="1" applyBorder="1"/>
    <xf numFmtId="0" fontId="1" fillId="0" borderId="25" xfId="0" applyFont="1" applyBorder="1" applyAlignment="1">
      <alignment horizontal="right"/>
    </xf>
    <xf numFmtId="0" fontId="1" fillId="0" borderId="78" xfId="0" applyFont="1" applyBorder="1"/>
    <xf numFmtId="0" fontId="1" fillId="0" borderId="16" xfId="0" applyFont="1" applyBorder="1"/>
    <xf numFmtId="3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40" borderId="0" xfId="0" applyFont="1" applyFill="1" applyBorder="1"/>
    <xf numFmtId="3" fontId="1" fillId="0" borderId="23" xfId="0" applyNumberFormat="1" applyFont="1" applyBorder="1"/>
    <xf numFmtId="0" fontId="1" fillId="25" borderId="0" xfId="0" applyFont="1" applyFill="1" applyBorder="1"/>
    <xf numFmtId="0" fontId="6" fillId="0" borderId="5" xfId="0" applyFont="1" applyBorder="1" applyAlignment="1">
      <alignment horizontal="right" vertical="center"/>
    </xf>
    <xf numFmtId="0" fontId="6" fillId="0" borderId="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10" fontId="1" fillId="0" borderId="1" xfId="0" applyNumberFormat="1" applyFont="1" applyBorder="1" applyAlignment="1">
      <alignment horizontal="center"/>
    </xf>
    <xf numFmtId="10" fontId="1" fillId="0" borderId="32" xfId="0" applyNumberFormat="1" applyFont="1" applyBorder="1" applyAlignment="1">
      <alignment horizontal="center"/>
    </xf>
    <xf numFmtId="0" fontId="6" fillId="0" borderId="26" xfId="0" applyFont="1" applyBorder="1" applyAlignment="1">
      <alignment horizontal="right"/>
    </xf>
    <xf numFmtId="10" fontId="1" fillId="0" borderId="12" xfId="0" applyNumberFormat="1" applyFont="1" applyBorder="1" applyAlignment="1">
      <alignment horizontal="center"/>
    </xf>
    <xf numFmtId="0" fontId="1" fillId="0" borderId="26" xfId="0" applyFont="1" applyBorder="1" applyAlignment="1">
      <alignment horizontal="right"/>
    </xf>
    <xf numFmtId="0" fontId="1" fillId="0" borderId="12" xfId="0" applyFont="1" applyBorder="1" applyAlignment="1">
      <alignment horizontal="center"/>
    </xf>
    <xf numFmtId="0" fontId="6" fillId="0" borderId="26" xfId="0" applyFont="1" applyBorder="1"/>
    <xf numFmtId="9" fontId="1" fillId="0" borderId="26" xfId="0" applyNumberFormat="1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2" fillId="0" borderId="4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" fillId="0" borderId="0" xfId="0" applyFont="1" applyAlignment="1">
      <alignment wrapText="1"/>
    </xf>
    <xf numFmtId="3" fontId="1" fillId="0" borderId="1" xfId="0" applyNumberFormat="1" applyFont="1" applyBorder="1" applyAlignment="1">
      <alignment horizontal="right"/>
    </xf>
    <xf numFmtId="0" fontId="9" fillId="41" borderId="0" xfId="0" applyFont="1" applyFill="1" applyBorder="1"/>
    <xf numFmtId="164" fontId="9" fillId="41" borderId="0" xfId="0" applyNumberFormat="1" applyFont="1" applyFill="1" applyBorder="1" applyAlignment="1">
      <alignment horizontal="right"/>
    </xf>
    <xf numFmtId="4" fontId="9" fillId="41" borderId="0" xfId="0" applyNumberFormat="1" applyFont="1" applyFill="1" applyBorder="1" applyAlignment="1">
      <alignment horizontal="right"/>
    </xf>
    <xf numFmtId="4" fontId="1" fillId="0" borderId="0" xfId="0" applyNumberFormat="1" applyFont="1"/>
    <xf numFmtId="10" fontId="1" fillId="0" borderId="0" xfId="0" applyNumberFormat="1" applyFont="1" applyAlignment="1">
      <alignment horizontal="center"/>
    </xf>
    <xf numFmtId="10" fontId="9" fillId="41" borderId="0" xfId="0" applyNumberFormat="1" applyFont="1" applyFill="1" applyBorder="1" applyAlignment="1">
      <alignment horizontal="right"/>
    </xf>
    <xf numFmtId="0" fontId="9" fillId="41" borderId="0" xfId="0" applyFont="1" applyFill="1" applyBorder="1" applyAlignment="1">
      <alignment horizontal="right"/>
    </xf>
    <xf numFmtId="0" fontId="9" fillId="42" borderId="0" xfId="0" applyFont="1" applyFill="1" applyBorder="1"/>
    <xf numFmtId="0" fontId="9" fillId="24" borderId="0" xfId="0" applyFont="1" applyFill="1" applyBorder="1"/>
    <xf numFmtId="164" fontId="9" fillId="42" borderId="0" xfId="0" applyNumberFormat="1" applyFont="1" applyFill="1" applyBorder="1" applyAlignment="1">
      <alignment horizontal="right"/>
    </xf>
    <xf numFmtId="4" fontId="9" fillId="24" borderId="0" xfId="0" applyNumberFormat="1" applyFont="1" applyFill="1" applyBorder="1" applyAlignment="1">
      <alignment horizontal="right"/>
    </xf>
    <xf numFmtId="0" fontId="9" fillId="42" borderId="0" xfId="0" applyFont="1" applyFill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0" fillId="0" borderId="0" xfId="0" applyFont="1"/>
    <xf numFmtId="0" fontId="16" fillId="0" borderId="2" xfId="0" applyFont="1" applyBorder="1"/>
    <xf numFmtId="0" fontId="1" fillId="0" borderId="79" xfId="0" applyFont="1" applyBorder="1" applyAlignment="1">
      <alignment horizontal="center"/>
    </xf>
    <xf numFmtId="0" fontId="6" fillId="5" borderId="79" xfId="0" applyFont="1" applyFill="1" applyBorder="1" applyAlignment="1">
      <alignment horizontal="center"/>
    </xf>
    <xf numFmtId="0" fontId="9" fillId="17" borderId="0" xfId="0" applyFont="1" applyFill="1" applyBorder="1"/>
    <xf numFmtId="0" fontId="1" fillId="0" borderId="15" xfId="0" applyFont="1" applyBorder="1"/>
    <xf numFmtId="0" fontId="9" fillId="19" borderId="0" xfId="0" applyFont="1" applyFill="1" applyBorder="1"/>
    <xf numFmtId="0" fontId="6" fillId="0" borderId="25" xfId="0" applyFont="1" applyBorder="1" applyAlignment="1">
      <alignment horizontal="center"/>
    </xf>
    <xf numFmtId="0" fontId="6" fillId="5" borderId="25" xfId="0" applyFont="1" applyFill="1" applyBorder="1" applyAlignment="1">
      <alignment horizontal="center"/>
    </xf>
    <xf numFmtId="164" fontId="9" fillId="17" borderId="0" xfId="0" applyNumberFormat="1" applyFont="1" applyFill="1" applyBorder="1" applyAlignment="1">
      <alignment horizontal="right"/>
    </xf>
    <xf numFmtId="0" fontId="6" fillId="6" borderId="25" xfId="0" applyFont="1" applyFill="1" applyBorder="1" applyAlignment="1">
      <alignment horizontal="center"/>
    </xf>
    <xf numFmtId="4" fontId="9" fillId="19" borderId="0" xfId="0" applyNumberFormat="1" applyFont="1" applyFill="1" applyBorder="1" applyAlignment="1">
      <alignment horizontal="right"/>
    </xf>
    <xf numFmtId="0" fontId="6" fillId="7" borderId="25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9" fillId="17" borderId="0" xfId="0" applyFont="1" applyFill="1" applyBorder="1" applyAlignment="1">
      <alignment horizontal="right"/>
    </xf>
    <xf numFmtId="0" fontId="6" fillId="3" borderId="16" xfId="0" applyFont="1" applyFill="1" applyBorder="1" applyAlignment="1">
      <alignment horizontal="center"/>
    </xf>
    <xf numFmtId="0" fontId="6" fillId="0" borderId="9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166" fontId="1" fillId="0" borderId="22" xfId="0" applyNumberFormat="1" applyFont="1" applyBorder="1" applyAlignment="1">
      <alignment horizontal="center"/>
    </xf>
    <xf numFmtId="9" fontId="1" fillId="0" borderId="22" xfId="0" applyNumberFormat="1" applyFont="1" applyBorder="1" applyAlignment="1">
      <alignment horizontal="center"/>
    </xf>
    <xf numFmtId="2" fontId="1" fillId="5" borderId="22" xfId="0" applyNumberFormat="1" applyFont="1" applyFill="1" applyBorder="1" applyAlignment="1">
      <alignment horizontal="center"/>
    </xf>
    <xf numFmtId="2" fontId="1" fillId="6" borderId="22" xfId="0" applyNumberFormat="1" applyFont="1" applyFill="1" applyBorder="1" applyAlignment="1">
      <alignment horizontal="center"/>
    </xf>
    <xf numFmtId="2" fontId="1" fillId="7" borderId="22" xfId="0" applyNumberFormat="1" applyFont="1" applyFill="1" applyBorder="1" applyAlignment="1">
      <alignment horizontal="center"/>
    </xf>
    <xf numFmtId="2" fontId="1" fillId="3" borderId="22" xfId="0" applyNumberFormat="1" applyFont="1" applyFill="1" applyBorder="1" applyAlignment="1">
      <alignment horizontal="center"/>
    </xf>
    <xf numFmtId="2" fontId="1" fillId="3" borderId="10" xfId="0" applyNumberFormat="1" applyFont="1" applyFill="1" applyBorder="1" applyAlignment="1">
      <alignment horizontal="center"/>
    </xf>
    <xf numFmtId="2" fontId="12" fillId="5" borderId="22" xfId="0" applyNumberFormat="1" applyFont="1" applyFill="1" applyBorder="1" applyAlignment="1">
      <alignment horizontal="center"/>
    </xf>
    <xf numFmtId="2" fontId="12" fillId="6" borderId="22" xfId="0" applyNumberFormat="1" applyFont="1" applyFill="1" applyBorder="1" applyAlignment="1">
      <alignment horizontal="center"/>
    </xf>
    <xf numFmtId="2" fontId="12" fillId="7" borderId="22" xfId="0" applyNumberFormat="1" applyFont="1" applyFill="1" applyBorder="1" applyAlignment="1">
      <alignment horizontal="center"/>
    </xf>
    <xf numFmtId="2" fontId="12" fillId="3" borderId="22" xfId="0" applyNumberFormat="1" applyFont="1" applyFill="1" applyBorder="1" applyAlignment="1">
      <alignment horizontal="center"/>
    </xf>
    <xf numFmtId="10" fontId="1" fillId="0" borderId="22" xfId="0" applyNumberFormat="1" applyFont="1" applyBorder="1" applyAlignment="1">
      <alignment horizontal="center"/>
    </xf>
    <xf numFmtId="10" fontId="1" fillId="3" borderId="22" xfId="0" applyNumberFormat="1" applyFont="1" applyFill="1" applyBorder="1" applyAlignment="1">
      <alignment horizontal="center"/>
    </xf>
    <xf numFmtId="10" fontId="1" fillId="3" borderId="10" xfId="0" applyNumberFormat="1" applyFont="1" applyFill="1" applyBorder="1" applyAlignment="1">
      <alignment horizontal="center"/>
    </xf>
    <xf numFmtId="8" fontId="12" fillId="5" borderId="22" xfId="0" applyNumberFormat="1" applyFont="1" applyFill="1" applyBorder="1" applyAlignment="1">
      <alignment horizontal="center"/>
    </xf>
    <xf numFmtId="8" fontId="12" fillId="6" borderId="22" xfId="0" applyNumberFormat="1" applyFont="1" applyFill="1" applyBorder="1" applyAlignment="1">
      <alignment horizontal="center"/>
    </xf>
    <xf numFmtId="8" fontId="12" fillId="7" borderId="22" xfId="0" applyNumberFormat="1" applyFont="1" applyFill="1" applyBorder="1" applyAlignment="1">
      <alignment horizontal="center"/>
    </xf>
    <xf numFmtId="8" fontId="1" fillId="3" borderId="22" xfId="0" applyNumberFormat="1" applyFont="1" applyFill="1" applyBorder="1" applyAlignment="1">
      <alignment horizontal="center"/>
    </xf>
    <xf numFmtId="6" fontId="1" fillId="3" borderId="22" xfId="0" applyNumberFormat="1" applyFont="1" applyFill="1" applyBorder="1" applyAlignment="1">
      <alignment horizontal="center"/>
    </xf>
    <xf numFmtId="8" fontId="1" fillId="3" borderId="10" xfId="0" applyNumberFormat="1" applyFont="1" applyFill="1" applyBorder="1" applyAlignment="1">
      <alignment horizontal="center"/>
    </xf>
    <xf numFmtId="3" fontId="1" fillId="0" borderId="22" xfId="0" applyNumberFormat="1" applyFont="1" applyBorder="1" applyAlignment="1">
      <alignment horizontal="center"/>
    </xf>
    <xf numFmtId="6" fontId="1" fillId="5" borderId="22" xfId="0" applyNumberFormat="1" applyFont="1" applyFill="1" applyBorder="1" applyAlignment="1">
      <alignment horizontal="center"/>
    </xf>
    <xf numFmtId="6" fontId="1" fillId="6" borderId="22" xfId="0" applyNumberFormat="1" applyFont="1" applyFill="1" applyBorder="1" applyAlignment="1">
      <alignment horizontal="center"/>
    </xf>
    <xf numFmtId="0" fontId="6" fillId="0" borderId="80" xfId="0" applyFont="1" applyBorder="1" applyAlignment="1">
      <alignment horizontal="left"/>
    </xf>
    <xf numFmtId="6" fontId="1" fillId="7" borderId="22" xfId="0" applyNumberFormat="1" applyFont="1" applyFill="1" applyBorder="1" applyAlignment="1">
      <alignment horizontal="center"/>
    </xf>
    <xf numFmtId="0" fontId="1" fillId="0" borderId="81" xfId="0" applyFont="1" applyBorder="1" applyAlignment="1">
      <alignment horizontal="center"/>
    </xf>
    <xf numFmtId="6" fontId="1" fillId="3" borderId="10" xfId="0" applyNumberFormat="1" applyFont="1" applyFill="1" applyBorder="1" applyAlignment="1">
      <alignment horizontal="center"/>
    </xf>
    <xf numFmtId="0" fontId="1" fillId="0" borderId="82" xfId="0" applyFont="1" applyBorder="1" applyAlignment="1">
      <alignment horizontal="center"/>
    </xf>
    <xf numFmtId="4" fontId="1" fillId="0" borderId="22" xfId="0" applyNumberFormat="1" applyFont="1" applyBorder="1" applyAlignment="1">
      <alignment horizontal="center"/>
    </xf>
    <xf numFmtId="10" fontId="1" fillId="6" borderId="22" xfId="0" applyNumberFormat="1" applyFont="1" applyFill="1" applyBorder="1" applyAlignment="1">
      <alignment horizontal="center"/>
    </xf>
    <xf numFmtId="10" fontId="1" fillId="7" borderId="22" xfId="0" applyNumberFormat="1" applyFont="1" applyFill="1" applyBorder="1" applyAlignment="1">
      <alignment horizontal="center"/>
    </xf>
    <xf numFmtId="165" fontId="12" fillId="6" borderId="22" xfId="0" applyNumberFormat="1" applyFont="1" applyFill="1" applyBorder="1" applyAlignment="1">
      <alignment horizontal="center"/>
    </xf>
    <xf numFmtId="10" fontId="1" fillId="0" borderId="83" xfId="0" applyNumberFormat="1" applyFont="1" applyBorder="1" applyAlignment="1">
      <alignment horizontal="left"/>
    </xf>
    <xf numFmtId="165" fontId="12" fillId="7" borderId="22" xfId="0" applyNumberFormat="1" applyFont="1" applyFill="1" applyBorder="1" applyAlignment="1">
      <alignment horizontal="center"/>
    </xf>
    <xf numFmtId="165" fontId="1" fillId="0" borderId="52" xfId="0" applyNumberFormat="1" applyFont="1" applyBorder="1" applyAlignment="1">
      <alignment horizontal="center"/>
    </xf>
    <xf numFmtId="165" fontId="9" fillId="3" borderId="22" xfId="0" applyNumberFormat="1" applyFont="1" applyFill="1" applyBorder="1" applyAlignment="1">
      <alignment horizontal="center"/>
    </xf>
    <xf numFmtId="10" fontId="1" fillId="0" borderId="52" xfId="0" applyNumberFormat="1" applyFont="1" applyBorder="1" applyAlignment="1">
      <alignment horizontal="center"/>
    </xf>
    <xf numFmtId="165" fontId="1" fillId="3" borderId="22" xfId="0" applyNumberFormat="1" applyFont="1" applyFill="1" applyBorder="1" applyAlignment="1">
      <alignment horizontal="center"/>
    </xf>
    <xf numFmtId="2" fontId="12" fillId="5" borderId="52" xfId="0" applyNumberFormat="1" applyFont="1" applyFill="1" applyBorder="1" applyAlignment="1">
      <alignment horizontal="center"/>
    </xf>
    <xf numFmtId="165" fontId="1" fillId="3" borderId="10" xfId="0" applyNumberFormat="1" applyFont="1" applyFill="1" applyBorder="1" applyAlignment="1">
      <alignment horizontal="center"/>
    </xf>
    <xf numFmtId="2" fontId="12" fillId="6" borderId="52" xfId="0" applyNumberFormat="1" applyFont="1" applyFill="1" applyBorder="1" applyAlignment="1">
      <alignment horizontal="center"/>
    </xf>
    <xf numFmtId="2" fontId="12" fillId="7" borderId="52" xfId="0" applyNumberFormat="1" applyFont="1" applyFill="1" applyBorder="1" applyAlignment="1">
      <alignment horizontal="center"/>
    </xf>
    <xf numFmtId="2" fontId="12" fillId="3" borderId="52" xfId="0" applyNumberFormat="1" applyFont="1" applyFill="1" applyBorder="1" applyAlignment="1">
      <alignment horizontal="center"/>
    </xf>
    <xf numFmtId="0" fontId="4" fillId="7" borderId="22" xfId="0" applyFont="1" applyFill="1" applyBorder="1"/>
    <xf numFmtId="2" fontId="1" fillId="3" borderId="52" xfId="0" applyNumberFormat="1" applyFont="1" applyFill="1" applyBorder="1" applyAlignment="1">
      <alignment horizontal="center"/>
    </xf>
    <xf numFmtId="0" fontId="4" fillId="3" borderId="10" xfId="0" applyFont="1" applyFill="1" applyBorder="1"/>
    <xf numFmtId="2" fontId="1" fillId="3" borderId="59" xfId="0" applyNumberFormat="1" applyFont="1" applyFill="1" applyBorder="1" applyAlignment="1">
      <alignment horizontal="center"/>
    </xf>
    <xf numFmtId="2" fontId="9" fillId="3" borderId="22" xfId="0" applyNumberFormat="1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 wrapText="1"/>
    </xf>
    <xf numFmtId="2" fontId="9" fillId="3" borderId="10" xfId="0" applyNumberFormat="1" applyFont="1" applyFill="1" applyBorder="1" applyAlignment="1">
      <alignment horizontal="center"/>
    </xf>
    <xf numFmtId="0" fontId="6" fillId="0" borderId="83" xfId="0" applyFont="1" applyBorder="1" applyAlignment="1">
      <alignment horizontal="left"/>
    </xf>
    <xf numFmtId="0" fontId="1" fillId="0" borderId="52" xfId="0" applyFont="1" applyBorder="1" applyAlignment="1">
      <alignment horizontal="center"/>
    </xf>
    <xf numFmtId="6" fontId="6" fillId="5" borderId="52" xfId="0" applyNumberFormat="1" applyFont="1" applyFill="1" applyBorder="1" applyAlignment="1">
      <alignment horizontal="center"/>
    </xf>
    <xf numFmtId="6" fontId="6" fillId="6" borderId="52" xfId="0" applyNumberFormat="1" applyFont="1" applyFill="1" applyBorder="1" applyAlignment="1">
      <alignment horizontal="center"/>
    </xf>
    <xf numFmtId="0" fontId="1" fillId="0" borderId="80" xfId="0" applyFont="1" applyBorder="1" applyAlignment="1">
      <alignment horizontal="left"/>
    </xf>
    <xf numFmtId="6" fontId="6" fillId="7" borderId="52" xfId="0" applyNumberFormat="1" applyFont="1" applyFill="1" applyBorder="1" applyAlignment="1">
      <alignment horizontal="center"/>
    </xf>
    <xf numFmtId="6" fontId="12" fillId="5" borderId="81" xfId="0" applyNumberFormat="1" applyFont="1" applyFill="1" applyBorder="1" applyAlignment="1">
      <alignment horizontal="center"/>
    </xf>
    <xf numFmtId="6" fontId="6" fillId="3" borderId="52" xfId="0" applyNumberFormat="1" applyFont="1" applyFill="1" applyBorder="1" applyAlignment="1">
      <alignment horizontal="center"/>
    </xf>
    <xf numFmtId="6" fontId="1" fillId="6" borderId="81" xfId="0" applyNumberFormat="1" applyFont="1" applyFill="1" applyBorder="1" applyAlignment="1">
      <alignment horizontal="center"/>
    </xf>
    <xf numFmtId="6" fontId="1" fillId="7" borderId="81" xfId="0" applyNumberFormat="1" applyFont="1" applyFill="1" applyBorder="1" applyAlignment="1">
      <alignment horizontal="center"/>
    </xf>
    <xf numFmtId="0" fontId="4" fillId="7" borderId="81" xfId="0" applyFont="1" applyFill="1" applyBorder="1"/>
    <xf numFmtId="164" fontId="1" fillId="3" borderId="81" xfId="0" applyNumberFormat="1" applyFont="1" applyFill="1" applyBorder="1" applyAlignment="1">
      <alignment horizontal="center"/>
    </xf>
    <xf numFmtId="10" fontId="1" fillId="5" borderId="22" xfId="0" applyNumberFormat="1" applyFont="1" applyFill="1" applyBorder="1" applyAlignment="1">
      <alignment horizontal="center"/>
    </xf>
    <xf numFmtId="164" fontId="1" fillId="3" borderId="22" xfId="0" applyNumberFormat="1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165" fontId="6" fillId="0" borderId="22" xfId="0" applyNumberFormat="1" applyFont="1" applyBorder="1" applyAlignment="1">
      <alignment horizontal="center"/>
    </xf>
    <xf numFmtId="0" fontId="1" fillId="7" borderId="22" xfId="0" applyFont="1" applyFill="1" applyBorder="1" applyAlignment="1">
      <alignment horizontal="center"/>
    </xf>
    <xf numFmtId="10" fontId="6" fillId="0" borderId="22" xfId="0" applyNumberFormat="1" applyFont="1" applyBorder="1" applyAlignment="1">
      <alignment horizontal="center"/>
    </xf>
    <xf numFmtId="2" fontId="17" fillId="5" borderId="22" xfId="0" applyNumberFormat="1" applyFont="1" applyFill="1" applyBorder="1" applyAlignment="1">
      <alignment horizontal="center"/>
    </xf>
    <xf numFmtId="165" fontId="17" fillId="6" borderId="22" xfId="0" applyNumberFormat="1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165" fontId="17" fillId="7" borderId="22" xfId="0" applyNumberFormat="1" applyFont="1" applyFill="1" applyBorder="1" applyAlignment="1">
      <alignment horizontal="center"/>
    </xf>
    <xf numFmtId="165" fontId="18" fillId="7" borderId="22" xfId="0" applyNumberFormat="1" applyFont="1" applyFill="1" applyBorder="1" applyAlignment="1">
      <alignment horizontal="center"/>
    </xf>
    <xf numFmtId="165" fontId="18" fillId="3" borderId="22" xfId="0" applyNumberFormat="1" applyFont="1" applyFill="1" applyBorder="1" applyAlignment="1">
      <alignment horizontal="center"/>
    </xf>
    <xf numFmtId="165" fontId="6" fillId="3" borderId="22" xfId="0" applyNumberFormat="1" applyFont="1" applyFill="1" applyBorder="1" applyAlignment="1">
      <alignment horizontal="center"/>
    </xf>
    <xf numFmtId="6" fontId="6" fillId="3" borderId="59" xfId="0" applyNumberFormat="1" applyFont="1" applyFill="1" applyBorder="1" applyAlignment="1">
      <alignment horizontal="center"/>
    </xf>
    <xf numFmtId="165" fontId="6" fillId="3" borderId="10" xfId="0" applyNumberFormat="1" applyFont="1" applyFill="1" applyBorder="1" applyAlignment="1">
      <alignment horizontal="center"/>
    </xf>
    <xf numFmtId="0" fontId="12" fillId="5" borderId="22" xfId="0" applyFont="1" applyFill="1" applyBorder="1" applyAlignment="1">
      <alignment horizontal="center" wrapText="1"/>
    </xf>
    <xf numFmtId="6" fontId="12" fillId="5" borderId="22" xfId="0" applyNumberFormat="1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7" borderId="22" xfId="0" applyFont="1" applyFill="1" applyBorder="1" applyAlignment="1">
      <alignment horizontal="center"/>
    </xf>
    <xf numFmtId="165" fontId="12" fillId="5" borderId="22" xfId="0" applyNumberFormat="1" applyFont="1" applyFill="1" applyBorder="1" applyAlignment="1">
      <alignment horizontal="center"/>
    </xf>
    <xf numFmtId="0" fontId="4" fillId="3" borderId="22" xfId="0" applyFont="1" applyFill="1" applyBorder="1" applyAlignment="1">
      <alignment horizontal="center"/>
    </xf>
    <xf numFmtId="165" fontId="1" fillId="6" borderId="22" xfId="0" applyNumberFormat="1" applyFont="1" applyFill="1" applyBorder="1" applyAlignment="1">
      <alignment horizontal="center"/>
    </xf>
    <xf numFmtId="165" fontId="1" fillId="7" borderId="22" xfId="0" applyNumberFormat="1" applyFont="1" applyFill="1" applyBorder="1" applyAlignment="1">
      <alignment horizontal="center"/>
    </xf>
    <xf numFmtId="6" fontId="1" fillId="5" borderId="52" xfId="0" applyNumberFormat="1" applyFont="1" applyFill="1" applyBorder="1" applyAlignment="1">
      <alignment horizontal="center"/>
    </xf>
    <xf numFmtId="6" fontId="1" fillId="6" borderId="52" xfId="0" applyNumberFormat="1" applyFont="1" applyFill="1" applyBorder="1" applyAlignment="1">
      <alignment horizontal="center"/>
    </xf>
    <xf numFmtId="6" fontId="1" fillId="7" borderId="52" xfId="0" applyNumberFormat="1" applyFont="1" applyFill="1" applyBorder="1" applyAlignment="1">
      <alignment horizontal="center"/>
    </xf>
    <xf numFmtId="0" fontId="6" fillId="0" borderId="84" xfId="0" applyFont="1" applyBorder="1" applyAlignment="1">
      <alignment horizontal="left"/>
    </xf>
    <xf numFmtId="6" fontId="1" fillId="3" borderId="52" xfId="0" applyNumberFormat="1" applyFont="1" applyFill="1" applyBorder="1" applyAlignment="1">
      <alignment horizontal="center"/>
    </xf>
    <xf numFmtId="0" fontId="1" fillId="0" borderId="85" xfId="0" applyFont="1" applyBorder="1" applyAlignment="1">
      <alignment horizontal="center"/>
    </xf>
    <xf numFmtId="6" fontId="1" fillId="3" borderId="59" xfId="0" applyNumberFormat="1" applyFont="1" applyFill="1" applyBorder="1" applyAlignment="1">
      <alignment horizontal="center"/>
    </xf>
    <xf numFmtId="0" fontId="6" fillId="5" borderId="85" xfId="0" applyFont="1" applyFill="1" applyBorder="1" applyAlignment="1">
      <alignment horizontal="center"/>
    </xf>
    <xf numFmtId="0" fontId="6" fillId="0" borderId="86" xfId="0" applyFont="1" applyBorder="1" applyAlignment="1">
      <alignment horizontal="left"/>
    </xf>
    <xf numFmtId="0" fontId="6" fillId="6" borderId="85" xfId="0" applyFont="1" applyFill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4" fillId="7" borderId="85" xfId="0" applyFont="1" applyFill="1" applyBorder="1" applyAlignment="1">
      <alignment horizontal="center"/>
    </xf>
    <xf numFmtId="0" fontId="6" fillId="5" borderId="62" xfId="0" applyFont="1" applyFill="1" applyBorder="1" applyAlignment="1">
      <alignment horizontal="center"/>
    </xf>
    <xf numFmtId="6" fontId="6" fillId="3" borderId="85" xfId="0" applyNumberFormat="1" applyFont="1" applyFill="1" applyBorder="1" applyAlignment="1">
      <alignment horizontal="center"/>
    </xf>
    <xf numFmtId="0" fontId="6" fillId="6" borderId="62" xfId="0" applyFont="1" applyFill="1" applyBorder="1" applyAlignment="1">
      <alignment horizontal="center"/>
    </xf>
    <xf numFmtId="6" fontId="6" fillId="3" borderId="87" xfId="0" applyNumberFormat="1" applyFont="1" applyFill="1" applyBorder="1" applyAlignment="1">
      <alignment horizontal="center"/>
    </xf>
    <xf numFmtId="0" fontId="14" fillId="7" borderId="62" xfId="0" applyFont="1" applyFill="1" applyBorder="1" applyAlignment="1">
      <alignment horizontal="center"/>
    </xf>
    <xf numFmtId="9" fontId="1" fillId="0" borderId="62" xfId="0" applyNumberFormat="1" applyFont="1" applyBorder="1" applyAlignment="1">
      <alignment horizontal="center"/>
    </xf>
    <xf numFmtId="6" fontId="6" fillId="3" borderId="62" xfId="0" applyNumberFormat="1" applyFont="1" applyFill="1" applyBorder="1" applyAlignment="1">
      <alignment horizontal="center"/>
    </xf>
    <xf numFmtId="0" fontId="1" fillId="0" borderId="68" xfId="0" applyFont="1" applyBorder="1" applyAlignment="1">
      <alignment horizontal="center"/>
    </xf>
    <xf numFmtId="6" fontId="6" fillId="3" borderId="68" xfId="0" applyNumberFormat="1" applyFont="1" applyFill="1" applyBorder="1" applyAlignment="1">
      <alignment horizontal="center"/>
    </xf>
    <xf numFmtId="165" fontId="16" fillId="5" borderId="22" xfId="0" applyNumberFormat="1" applyFont="1" applyFill="1" applyBorder="1" applyAlignment="1">
      <alignment horizontal="center"/>
    </xf>
    <xf numFmtId="10" fontId="16" fillId="5" borderId="22" xfId="0" applyNumberFormat="1" applyFont="1" applyFill="1" applyBorder="1" applyAlignment="1">
      <alignment horizontal="center"/>
    </xf>
    <xf numFmtId="0" fontId="6" fillId="0" borderId="15" xfId="0" applyFont="1" applyBorder="1" applyAlignment="1">
      <alignment horizontal="left"/>
    </xf>
    <xf numFmtId="0" fontId="1" fillId="5" borderId="25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1" fillId="7" borderId="25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3" fontId="1" fillId="0" borderId="0" xfId="0" applyNumberFormat="1" applyFont="1"/>
    <xf numFmtId="165" fontId="4" fillId="0" borderId="0" xfId="0" applyNumberFormat="1" applyFont="1" applyAlignment="1">
      <alignment horizontal="right"/>
    </xf>
    <xf numFmtId="2" fontId="9" fillId="7" borderId="22" xfId="0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right"/>
    </xf>
    <xf numFmtId="9" fontId="4" fillId="0" borderId="0" xfId="0" applyNumberFormat="1" applyFont="1"/>
    <xf numFmtId="10" fontId="9" fillId="7" borderId="22" xfId="0" applyNumberFormat="1" applyFont="1" applyFill="1" applyBorder="1" applyAlignment="1">
      <alignment horizontal="center"/>
    </xf>
    <xf numFmtId="10" fontId="9" fillId="3" borderId="22" xfId="0" applyNumberFormat="1" applyFont="1" applyFill="1" applyBorder="1" applyAlignment="1">
      <alignment horizontal="center"/>
    </xf>
    <xf numFmtId="6" fontId="9" fillId="3" borderId="22" xfId="0" applyNumberFormat="1" applyFont="1" applyFill="1" applyBorder="1" applyAlignment="1">
      <alignment horizontal="center"/>
    </xf>
    <xf numFmtId="165" fontId="9" fillId="7" borderId="22" xfId="0" applyNumberFormat="1" applyFont="1" applyFill="1" applyBorder="1" applyAlignment="1">
      <alignment horizontal="center"/>
    </xf>
    <xf numFmtId="8" fontId="9" fillId="3" borderId="22" xfId="0" applyNumberFormat="1" applyFont="1" applyFill="1" applyBorder="1" applyAlignment="1">
      <alignment horizontal="center"/>
    </xf>
    <xf numFmtId="10" fontId="1" fillId="0" borderId="9" xfId="0" applyNumberFormat="1" applyFont="1" applyBorder="1" applyAlignment="1">
      <alignment horizontal="left"/>
    </xf>
    <xf numFmtId="6" fontId="6" fillId="5" borderId="22" xfId="0" applyNumberFormat="1" applyFont="1" applyFill="1" applyBorder="1" applyAlignment="1">
      <alignment horizontal="center"/>
    </xf>
    <xf numFmtId="6" fontId="6" fillId="6" borderId="22" xfId="0" applyNumberFormat="1" applyFont="1" applyFill="1" applyBorder="1" applyAlignment="1">
      <alignment horizontal="center"/>
    </xf>
    <xf numFmtId="6" fontId="6" fillId="7" borderId="22" xfId="0" applyNumberFormat="1" applyFont="1" applyFill="1" applyBorder="1" applyAlignment="1">
      <alignment horizontal="center"/>
    </xf>
    <xf numFmtId="6" fontId="6" fillId="3" borderId="22" xfId="0" applyNumberFormat="1" applyFont="1" applyFill="1" applyBorder="1" applyAlignment="1">
      <alignment horizontal="center"/>
    </xf>
    <xf numFmtId="6" fontId="6" fillId="3" borderId="10" xfId="0" applyNumberFormat="1" applyFont="1" applyFill="1" applyBorder="1" applyAlignment="1">
      <alignment horizontal="center"/>
    </xf>
    <xf numFmtId="10" fontId="12" fillId="7" borderId="22" xfId="0" applyNumberFormat="1" applyFont="1" applyFill="1" applyBorder="1" applyAlignment="1">
      <alignment horizontal="center"/>
    </xf>
    <xf numFmtId="6" fontId="18" fillId="3" borderId="10" xfId="0" applyNumberFormat="1" applyFont="1" applyFill="1" applyBorder="1" applyAlignment="1">
      <alignment horizontal="center"/>
    </xf>
    <xf numFmtId="0" fontId="6" fillId="5" borderId="52" xfId="0" applyFont="1" applyFill="1" applyBorder="1" applyAlignment="1">
      <alignment horizontal="center"/>
    </xf>
    <xf numFmtId="0" fontId="6" fillId="6" borderId="52" xfId="0" applyFont="1" applyFill="1" applyBorder="1" applyAlignment="1">
      <alignment horizontal="center"/>
    </xf>
    <xf numFmtId="6" fontId="18" fillId="7" borderId="52" xfId="0" applyNumberFormat="1" applyFont="1" applyFill="1" applyBorder="1" applyAlignment="1">
      <alignment horizontal="center"/>
    </xf>
    <xf numFmtId="6" fontId="18" fillId="3" borderId="52" xfId="0" applyNumberFormat="1" applyFont="1" applyFill="1" applyBorder="1" applyAlignment="1">
      <alignment horizontal="center"/>
    </xf>
    <xf numFmtId="6" fontId="18" fillId="3" borderId="59" xfId="0" applyNumberFormat="1" applyFont="1" applyFill="1" applyBorder="1" applyAlignment="1">
      <alignment horizontal="center"/>
    </xf>
    <xf numFmtId="9" fontId="1" fillId="5" borderId="22" xfId="0" applyNumberFormat="1" applyFont="1" applyFill="1" applyBorder="1" applyAlignment="1">
      <alignment horizontal="center"/>
    </xf>
    <xf numFmtId="9" fontId="1" fillId="6" borderId="22" xfId="0" applyNumberFormat="1" applyFont="1" applyFill="1" applyBorder="1" applyAlignment="1">
      <alignment horizontal="center"/>
    </xf>
    <xf numFmtId="9" fontId="1" fillId="7" borderId="22" xfId="0" applyNumberFormat="1" applyFont="1" applyFill="1" applyBorder="1" applyAlignment="1">
      <alignment horizontal="center"/>
    </xf>
    <xf numFmtId="9" fontId="9" fillId="7" borderId="22" xfId="0" applyNumberFormat="1" applyFont="1" applyFill="1" applyBorder="1" applyAlignment="1">
      <alignment horizontal="center"/>
    </xf>
    <xf numFmtId="9" fontId="9" fillId="3" borderId="22" xfId="0" applyNumberFormat="1" applyFont="1" applyFill="1" applyBorder="1" applyAlignment="1">
      <alignment horizontal="center"/>
    </xf>
    <xf numFmtId="9" fontId="1" fillId="3" borderId="22" xfId="0" applyNumberFormat="1" applyFont="1" applyFill="1" applyBorder="1" applyAlignment="1">
      <alignment horizontal="center"/>
    </xf>
    <xf numFmtId="9" fontId="1" fillId="3" borderId="10" xfId="0" applyNumberFormat="1" applyFont="1" applyFill="1" applyBorder="1" applyAlignment="1">
      <alignment horizontal="center"/>
    </xf>
    <xf numFmtId="8" fontId="9" fillId="7" borderId="22" xfId="0" applyNumberFormat="1" applyFont="1" applyFill="1" applyBorder="1" applyAlignment="1">
      <alignment horizontal="center"/>
    </xf>
    <xf numFmtId="6" fontId="9" fillId="3" borderId="10" xfId="0" applyNumberFormat="1" applyFont="1" applyFill="1" applyBorder="1" applyAlignment="1">
      <alignment horizontal="center"/>
    </xf>
    <xf numFmtId="0" fontId="6" fillId="5" borderId="22" xfId="0" applyFont="1" applyFill="1" applyBorder="1" applyAlignment="1">
      <alignment horizontal="center"/>
    </xf>
    <xf numFmtId="0" fontId="6" fillId="6" borderId="22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9" fontId="1" fillId="0" borderId="12" xfId="0" applyNumberFormat="1" applyFont="1" applyBorder="1" applyAlignment="1">
      <alignment horizontal="center"/>
    </xf>
    <xf numFmtId="2" fontId="1" fillId="5" borderId="12" xfId="0" applyNumberFormat="1" applyFont="1" applyFill="1" applyBorder="1" applyAlignment="1">
      <alignment horizontal="center"/>
    </xf>
    <xf numFmtId="2" fontId="1" fillId="6" borderId="12" xfId="0" applyNumberFormat="1" applyFont="1" applyFill="1" applyBorder="1" applyAlignment="1">
      <alignment horizontal="center"/>
    </xf>
    <xf numFmtId="2" fontId="1" fillId="7" borderId="12" xfId="0" applyNumberFormat="1" applyFont="1" applyFill="1" applyBorder="1" applyAlignment="1">
      <alignment horizontal="center"/>
    </xf>
    <xf numFmtId="2" fontId="1" fillId="3" borderId="12" xfId="0" applyNumberFormat="1" applyFont="1" applyFill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2" fontId="12" fillId="5" borderId="12" xfId="0" applyNumberFormat="1" applyFont="1" applyFill="1" applyBorder="1" applyAlignment="1">
      <alignment horizontal="center"/>
    </xf>
    <xf numFmtId="2" fontId="12" fillId="6" borderId="12" xfId="0" applyNumberFormat="1" applyFont="1" applyFill="1" applyBorder="1" applyAlignment="1">
      <alignment horizontal="center"/>
    </xf>
    <xf numFmtId="2" fontId="12" fillId="7" borderId="12" xfId="0" applyNumberFormat="1" applyFont="1" applyFill="1" applyBorder="1" applyAlignment="1">
      <alignment horizontal="center"/>
    </xf>
    <xf numFmtId="2" fontId="12" fillId="3" borderId="12" xfId="0" applyNumberFormat="1" applyFont="1" applyFill="1" applyBorder="1" applyAlignment="1">
      <alignment horizontal="center"/>
    </xf>
    <xf numFmtId="2" fontId="9" fillId="3" borderId="12" xfId="0" applyNumberFormat="1" applyFont="1" applyFill="1" applyBorder="1" applyAlignment="1">
      <alignment horizontal="center"/>
    </xf>
    <xf numFmtId="10" fontId="1" fillId="7" borderId="12" xfId="0" applyNumberFormat="1" applyFont="1" applyFill="1" applyBorder="1" applyAlignment="1">
      <alignment horizontal="center"/>
    </xf>
    <xf numFmtId="10" fontId="1" fillId="3" borderId="12" xfId="0" applyNumberFormat="1" applyFont="1" applyFill="1" applyBorder="1" applyAlignment="1">
      <alignment horizontal="center"/>
    </xf>
    <xf numFmtId="2" fontId="12" fillId="5" borderId="1" xfId="0" applyNumberFormat="1" applyFont="1" applyFill="1" applyBorder="1" applyAlignment="1">
      <alignment horizontal="center"/>
    </xf>
    <xf numFmtId="165" fontId="12" fillId="6" borderId="12" xfId="0" applyNumberFormat="1" applyFont="1" applyFill="1" applyBorder="1" applyAlignment="1">
      <alignment horizontal="center"/>
    </xf>
    <xf numFmtId="165" fontId="12" fillId="7" borderId="12" xfId="0" applyNumberFormat="1" applyFont="1" applyFill="1" applyBorder="1" applyAlignment="1">
      <alignment horizontal="center"/>
    </xf>
    <xf numFmtId="165" fontId="9" fillId="3" borderId="12" xfId="0" applyNumberFormat="1" applyFont="1" applyFill="1" applyBorder="1" applyAlignment="1">
      <alignment horizontal="center"/>
    </xf>
    <xf numFmtId="8" fontId="9" fillId="3" borderId="32" xfId="0" applyNumberFormat="1" applyFont="1" applyFill="1" applyBorder="1" applyAlignment="1">
      <alignment horizontal="center"/>
    </xf>
    <xf numFmtId="6" fontId="1" fillId="3" borderId="32" xfId="0" applyNumberFormat="1" applyFont="1" applyFill="1" applyBorder="1" applyAlignment="1">
      <alignment horizontal="center"/>
    </xf>
    <xf numFmtId="8" fontId="1" fillId="3" borderId="32" xfId="0" applyNumberFormat="1" applyFont="1" applyFill="1" applyBorder="1" applyAlignment="1">
      <alignment horizontal="center"/>
    </xf>
    <xf numFmtId="4" fontId="1" fillId="0" borderId="12" xfId="0" applyNumberFormat="1" applyFont="1" applyBorder="1" applyAlignment="1">
      <alignment horizontal="center"/>
    </xf>
    <xf numFmtId="10" fontId="1" fillId="6" borderId="12" xfId="0" applyNumberFormat="1" applyFont="1" applyFill="1" applyBorder="1" applyAlignment="1">
      <alignment horizontal="center"/>
    </xf>
    <xf numFmtId="10" fontId="9" fillId="7" borderId="12" xfId="0" applyNumberFormat="1" applyFont="1" applyFill="1" applyBorder="1" applyAlignment="1">
      <alignment horizontal="center"/>
    </xf>
    <xf numFmtId="10" fontId="9" fillId="3" borderId="12" xfId="0" applyNumberFormat="1" applyFont="1" applyFill="1" applyBorder="1" applyAlignment="1">
      <alignment horizontal="center"/>
    </xf>
    <xf numFmtId="6" fontId="9" fillId="3" borderId="32" xfId="0" applyNumberFormat="1" applyFont="1" applyFill="1" applyBorder="1" applyAlignment="1">
      <alignment horizontal="center"/>
    </xf>
    <xf numFmtId="165" fontId="1" fillId="0" borderId="12" xfId="0" applyNumberFormat="1" applyFont="1" applyBorder="1" applyAlignment="1">
      <alignment horizontal="center"/>
    </xf>
    <xf numFmtId="165" fontId="1" fillId="0" borderId="26" xfId="0" applyNumberFormat="1" applyFont="1" applyBorder="1" applyAlignment="1">
      <alignment horizontal="center"/>
    </xf>
    <xf numFmtId="10" fontId="1" fillId="0" borderId="26" xfId="0" applyNumberFormat="1" applyFont="1" applyBorder="1" applyAlignment="1">
      <alignment horizontal="center"/>
    </xf>
    <xf numFmtId="2" fontId="12" fillId="5" borderId="0" xfId="0" applyNumberFormat="1" applyFont="1" applyFill="1" applyBorder="1" applyAlignment="1">
      <alignment horizontal="center"/>
    </xf>
    <xf numFmtId="2" fontId="12" fillId="6" borderId="0" xfId="0" applyNumberFormat="1" applyFont="1" applyFill="1" applyBorder="1" applyAlignment="1">
      <alignment horizontal="center"/>
    </xf>
    <xf numFmtId="2" fontId="12" fillId="7" borderId="0" xfId="0" applyNumberFormat="1" applyFont="1" applyFill="1" applyBorder="1" applyAlignment="1">
      <alignment horizontal="center"/>
    </xf>
    <xf numFmtId="2" fontId="12" fillId="3" borderId="0" xfId="0" applyNumberFormat="1" applyFont="1" applyFill="1" applyBorder="1" applyAlignment="1">
      <alignment horizontal="center"/>
    </xf>
    <xf numFmtId="2" fontId="9" fillId="3" borderId="0" xfId="0" applyNumberFormat="1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6" fontId="1" fillId="5" borderId="4" xfId="0" applyNumberFormat="1" applyFont="1" applyFill="1" applyBorder="1" applyAlignment="1">
      <alignment horizontal="center"/>
    </xf>
    <xf numFmtId="6" fontId="1" fillId="6" borderId="4" xfId="0" applyNumberFormat="1" applyFont="1" applyFill="1" applyBorder="1" applyAlignment="1">
      <alignment horizontal="center"/>
    </xf>
    <xf numFmtId="6" fontId="1" fillId="7" borderId="4" xfId="0" applyNumberFormat="1" applyFont="1" applyFill="1" applyBorder="1" applyAlignment="1">
      <alignment horizontal="center"/>
    </xf>
    <xf numFmtId="6" fontId="1" fillId="3" borderId="4" xfId="0" applyNumberFormat="1" applyFont="1" applyFill="1" applyBorder="1" applyAlignment="1">
      <alignment horizontal="center"/>
    </xf>
    <xf numFmtId="6" fontId="1" fillId="5" borderId="0" xfId="0" applyNumberFormat="1" applyFont="1" applyFill="1" applyBorder="1" applyAlignment="1">
      <alignment horizontal="center"/>
    </xf>
    <xf numFmtId="6" fontId="1" fillId="7" borderId="0" xfId="0" applyNumberFormat="1" applyFont="1" applyFill="1" applyBorder="1" applyAlignment="1">
      <alignment horizontal="center"/>
    </xf>
    <xf numFmtId="6" fontId="1" fillId="3" borderId="0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6" fontId="1" fillId="5" borderId="26" xfId="0" applyNumberFormat="1" applyFont="1" applyFill="1" applyBorder="1" applyAlignment="1">
      <alignment horizontal="center"/>
    </xf>
    <xf numFmtId="6" fontId="1" fillId="6" borderId="26" xfId="0" applyNumberFormat="1" applyFont="1" applyFill="1" applyBorder="1" applyAlignment="1">
      <alignment horizontal="center"/>
    </xf>
    <xf numFmtId="6" fontId="1" fillId="7" borderId="26" xfId="0" applyNumberFormat="1" applyFont="1" applyFill="1" applyBorder="1" applyAlignment="1">
      <alignment horizontal="center"/>
    </xf>
    <xf numFmtId="6" fontId="1" fillId="3" borderId="26" xfId="0" applyNumberFormat="1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0" fontId="1" fillId="3" borderId="32" xfId="0" applyNumberFormat="1" applyFont="1" applyFill="1" applyBorder="1" applyAlignment="1">
      <alignment horizontal="center"/>
    </xf>
    <xf numFmtId="10" fontId="1" fillId="3" borderId="1" xfId="0" applyNumberFormat="1" applyFont="1" applyFill="1" applyBorder="1" applyAlignment="1">
      <alignment horizontal="center"/>
    </xf>
    <xf numFmtId="10" fontId="1" fillId="5" borderId="0" xfId="0" applyNumberFormat="1" applyFont="1" applyFill="1" applyBorder="1" applyAlignment="1">
      <alignment horizontal="center"/>
    </xf>
    <xf numFmtId="10" fontId="1" fillId="6" borderId="1" xfId="0" applyNumberFormat="1" applyFont="1" applyFill="1" applyBorder="1" applyAlignment="1">
      <alignment horizontal="center"/>
    </xf>
    <xf numFmtId="10" fontId="1" fillId="7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6" fontId="1" fillId="7" borderId="13" xfId="0" applyNumberFormat="1" applyFont="1" applyFill="1" applyBorder="1" applyAlignment="1">
      <alignment horizontal="center"/>
    </xf>
    <xf numFmtId="6" fontId="1" fillId="3" borderId="13" xfId="0" applyNumberFormat="1" applyFont="1" applyFill="1" applyBorder="1" applyAlignment="1">
      <alignment horizontal="center"/>
    </xf>
    <xf numFmtId="6" fontId="1" fillId="5" borderId="1" xfId="0" applyNumberFormat="1" applyFont="1" applyFill="1" applyBorder="1" applyAlignment="1">
      <alignment horizontal="center"/>
    </xf>
    <xf numFmtId="6" fontId="1" fillId="6" borderId="1" xfId="0" applyNumberFormat="1" applyFont="1" applyFill="1" applyBorder="1" applyAlignment="1">
      <alignment horizontal="center"/>
    </xf>
    <xf numFmtId="6" fontId="1" fillId="7" borderId="1" xfId="0" applyNumberFormat="1" applyFont="1" applyFill="1" applyBorder="1" applyAlignment="1">
      <alignment horizontal="center"/>
    </xf>
    <xf numFmtId="6" fontId="1" fillId="3" borderId="1" xfId="0" applyNumberFormat="1" applyFont="1" applyFill="1" applyBorder="1" applyAlignment="1">
      <alignment horizontal="center"/>
    </xf>
    <xf numFmtId="0" fontId="1" fillId="0" borderId="32" xfId="0" applyFont="1" applyBorder="1" applyAlignment="1">
      <alignment horizontal="right"/>
    </xf>
    <xf numFmtId="9" fontId="1" fillId="0" borderId="32" xfId="0" applyNumberFormat="1" applyFont="1" applyBorder="1" applyAlignment="1">
      <alignment horizontal="center"/>
    </xf>
    <xf numFmtId="6" fontId="10" fillId="3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6" fillId="0" borderId="1" xfId="0" applyFont="1" applyBorder="1"/>
    <xf numFmtId="0" fontId="1" fillId="5" borderId="13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6" fillId="0" borderId="0" xfId="0" applyFont="1" applyAlignment="1">
      <alignment horizontal="right" vertical="center"/>
    </xf>
    <xf numFmtId="9" fontId="1" fillId="0" borderId="0" xfId="0" applyNumberFormat="1" applyFont="1"/>
    <xf numFmtId="9" fontId="1" fillId="5" borderId="12" xfId="0" applyNumberFormat="1" applyFont="1" applyFill="1" applyBorder="1" applyAlignment="1">
      <alignment horizontal="center"/>
    </xf>
    <xf numFmtId="9" fontId="1" fillId="6" borderId="12" xfId="0" applyNumberFormat="1" applyFont="1" applyFill="1" applyBorder="1" applyAlignment="1">
      <alignment horizontal="center"/>
    </xf>
    <xf numFmtId="9" fontId="1" fillId="7" borderId="12" xfId="0" applyNumberFormat="1" applyFont="1" applyFill="1" applyBorder="1" applyAlignment="1">
      <alignment horizontal="center"/>
    </xf>
    <xf numFmtId="9" fontId="1" fillId="3" borderId="12" xfId="0" applyNumberFormat="1" applyFont="1" applyFill="1" applyBorder="1" applyAlignment="1">
      <alignment horizontal="center"/>
    </xf>
    <xf numFmtId="0" fontId="1" fillId="5" borderId="12" xfId="0" applyFont="1" applyFill="1" applyBorder="1" applyAlignment="1">
      <alignment horizontal="right"/>
    </xf>
    <xf numFmtId="0" fontId="1" fillId="6" borderId="12" xfId="0" applyFont="1" applyFill="1" applyBorder="1" applyAlignment="1">
      <alignment horizontal="right"/>
    </xf>
    <xf numFmtId="0" fontId="1" fillId="7" borderId="12" xfId="0" applyFont="1" applyFill="1" applyBorder="1" applyAlignment="1">
      <alignment horizontal="right"/>
    </xf>
    <xf numFmtId="0" fontId="1" fillId="3" borderId="12" xfId="0" applyFont="1" applyFill="1" applyBorder="1" applyAlignment="1">
      <alignment horizontal="right"/>
    </xf>
    <xf numFmtId="6" fontId="1" fillId="0" borderId="0" xfId="0" applyNumberFormat="1" applyFont="1" applyAlignment="1">
      <alignment horizontal="center"/>
    </xf>
    <xf numFmtId="6" fontId="1" fillId="5" borderId="32" xfId="0" applyNumberFormat="1" applyFont="1" applyFill="1" applyBorder="1" applyAlignment="1">
      <alignment horizontal="right"/>
    </xf>
    <xf numFmtId="6" fontId="1" fillId="6" borderId="32" xfId="0" applyNumberFormat="1" applyFont="1" applyFill="1" applyBorder="1" applyAlignment="1">
      <alignment horizontal="right"/>
    </xf>
    <xf numFmtId="6" fontId="1" fillId="7" borderId="32" xfId="0" applyNumberFormat="1" applyFont="1" applyFill="1" applyBorder="1" applyAlignment="1">
      <alignment horizontal="right"/>
    </xf>
    <xf numFmtId="6" fontId="1" fillId="3" borderId="32" xfId="0" applyNumberFormat="1" applyFont="1" applyFill="1" applyBorder="1" applyAlignment="1">
      <alignment horizontal="right"/>
    </xf>
    <xf numFmtId="6" fontId="1" fillId="6" borderId="0" xfId="0" applyNumberFormat="1" applyFont="1" applyFill="1" applyBorder="1" applyAlignment="1">
      <alignment horizontal="right"/>
    </xf>
    <xf numFmtId="6" fontId="1" fillId="7" borderId="0" xfId="0" applyNumberFormat="1" applyFont="1" applyFill="1" applyBorder="1" applyAlignment="1">
      <alignment horizontal="right"/>
    </xf>
    <xf numFmtId="6" fontId="1" fillId="3" borderId="0" xfId="0" applyNumberFormat="1" applyFont="1" applyFill="1" applyBorder="1" applyAlignment="1">
      <alignment horizontal="right"/>
    </xf>
    <xf numFmtId="6" fontId="1" fillId="0" borderId="13" xfId="0" applyNumberFormat="1" applyFont="1" applyBorder="1" applyAlignment="1">
      <alignment horizontal="center"/>
    </xf>
    <xf numFmtId="6" fontId="1" fillId="5" borderId="26" xfId="0" applyNumberFormat="1" applyFont="1" applyFill="1" applyBorder="1" applyAlignment="1">
      <alignment horizontal="right"/>
    </xf>
    <xf numFmtId="6" fontId="1" fillId="6" borderId="26" xfId="0" applyNumberFormat="1" applyFont="1" applyFill="1" applyBorder="1" applyAlignment="1">
      <alignment horizontal="right"/>
    </xf>
    <xf numFmtId="6" fontId="1" fillId="6" borderId="13" xfId="0" applyNumberFormat="1" applyFont="1" applyFill="1" applyBorder="1" applyAlignment="1">
      <alignment horizontal="right"/>
    </xf>
    <xf numFmtId="6" fontId="1" fillId="7" borderId="13" xfId="0" applyNumberFormat="1" applyFont="1" applyFill="1" applyBorder="1" applyAlignment="1">
      <alignment horizontal="right"/>
    </xf>
    <xf numFmtId="6" fontId="1" fillId="3" borderId="13" xfId="0" applyNumberFormat="1" applyFont="1" applyFill="1" applyBorder="1" applyAlignment="1">
      <alignment horizontal="right"/>
    </xf>
    <xf numFmtId="6" fontId="1" fillId="5" borderId="0" xfId="0" applyNumberFormat="1" applyFont="1" applyFill="1" applyBorder="1" applyAlignment="1">
      <alignment horizontal="right"/>
    </xf>
    <xf numFmtId="0" fontId="1" fillId="0" borderId="1" xfId="0" applyFont="1" applyBorder="1" applyAlignment="1">
      <alignment horizontal="right" wrapText="1"/>
    </xf>
    <xf numFmtId="9" fontId="1" fillId="0" borderId="1" xfId="0" applyNumberFormat="1" applyFont="1" applyBorder="1" applyAlignment="1">
      <alignment horizontal="center" wrapText="1"/>
    </xf>
    <xf numFmtId="0" fontId="1" fillId="5" borderId="1" xfId="0" applyFont="1" applyFill="1" applyBorder="1" applyAlignment="1">
      <alignment horizontal="right" wrapText="1"/>
    </xf>
    <xf numFmtId="6" fontId="1" fillId="7" borderId="26" xfId="0" applyNumberFormat="1" applyFont="1" applyFill="1" applyBorder="1" applyAlignment="1">
      <alignment horizontal="right"/>
    </xf>
    <xf numFmtId="6" fontId="1" fillId="3" borderId="26" xfId="0" applyNumberFormat="1" applyFont="1" applyFill="1" applyBorder="1" applyAlignment="1">
      <alignment horizontal="right"/>
    </xf>
    <xf numFmtId="0" fontId="4" fillId="5" borderId="0" xfId="0" applyFont="1" applyFill="1" applyBorder="1"/>
    <xf numFmtId="9" fontId="1" fillId="6" borderId="1" xfId="0" applyNumberFormat="1" applyFont="1" applyFill="1" applyBorder="1" applyAlignment="1">
      <alignment horizontal="right"/>
    </xf>
    <xf numFmtId="9" fontId="1" fillId="7" borderId="1" xfId="0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0" fontId="1" fillId="7" borderId="1" xfId="0" applyFont="1" applyFill="1" applyBorder="1" applyAlignment="1">
      <alignment horizontal="right"/>
    </xf>
    <xf numFmtId="0" fontId="4" fillId="5" borderId="13" xfId="0" applyFont="1" applyFill="1" applyBorder="1"/>
    <xf numFmtId="0" fontId="1" fillId="6" borderId="13" xfId="0" applyFont="1" applyFill="1" applyBorder="1" applyAlignment="1">
      <alignment horizontal="right"/>
    </xf>
    <xf numFmtId="0" fontId="1" fillId="7" borderId="26" xfId="0" applyFont="1" applyFill="1" applyBorder="1" applyAlignment="1">
      <alignment horizontal="right"/>
    </xf>
    <xf numFmtId="0" fontId="1" fillId="3" borderId="26" xfId="0" applyFont="1" applyFill="1" applyBorder="1" applyAlignment="1">
      <alignment horizontal="right"/>
    </xf>
    <xf numFmtId="0" fontId="1" fillId="0" borderId="32" xfId="0" applyFont="1" applyBorder="1" applyAlignment="1">
      <alignment horizontal="center"/>
    </xf>
    <xf numFmtId="6" fontId="1" fillId="5" borderId="1" xfId="0" applyNumberFormat="1" applyFont="1" applyFill="1" applyBorder="1" applyAlignment="1">
      <alignment horizontal="right"/>
    </xf>
    <xf numFmtId="6" fontId="1" fillId="6" borderId="1" xfId="0" applyNumberFormat="1" applyFont="1" applyFill="1" applyBorder="1" applyAlignment="1">
      <alignment horizontal="right"/>
    </xf>
    <xf numFmtId="6" fontId="1" fillId="7" borderId="1" xfId="0" applyNumberFormat="1" applyFont="1" applyFill="1" applyBorder="1" applyAlignment="1">
      <alignment horizontal="right"/>
    </xf>
    <xf numFmtId="6" fontId="1" fillId="3" borderId="1" xfId="0" applyNumberFormat="1" applyFont="1" applyFill="1" applyBorder="1" applyAlignment="1">
      <alignment horizontal="right"/>
    </xf>
    <xf numFmtId="0" fontId="1" fillId="5" borderId="1" xfId="0" applyFont="1" applyFill="1" applyBorder="1" applyAlignment="1">
      <alignment horizontal="right"/>
    </xf>
    <xf numFmtId="0" fontId="4" fillId="6" borderId="0" xfId="0" applyFont="1" applyFill="1" applyBorder="1"/>
    <xf numFmtId="0" fontId="4" fillId="7" borderId="0" xfId="0" applyFont="1" applyFill="1" applyBorder="1"/>
    <xf numFmtId="0" fontId="4" fillId="3" borderId="0" xfId="0" applyFont="1" applyFill="1" applyBorder="1"/>
    <xf numFmtId="0" fontId="1" fillId="6" borderId="1" xfId="0" applyFont="1" applyFill="1" applyBorder="1" applyAlignment="1">
      <alignment horizontal="right"/>
    </xf>
    <xf numFmtId="7" fontId="1" fillId="5" borderId="26" xfId="0" applyNumberFormat="1" applyFont="1" applyFill="1" applyBorder="1" applyAlignment="1">
      <alignment horizontal="right"/>
    </xf>
    <xf numFmtId="7" fontId="1" fillId="5" borderId="0" xfId="0" applyNumberFormat="1" applyFont="1" applyFill="1" applyBorder="1" applyAlignment="1">
      <alignment horizontal="right"/>
    </xf>
    <xf numFmtId="0" fontId="1" fillId="6" borderId="26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1" fillId="5" borderId="26" xfId="0" applyFont="1" applyFill="1" applyBorder="1" applyAlignment="1">
      <alignment horizontal="center"/>
    </xf>
    <xf numFmtId="9" fontId="1" fillId="5" borderId="1" xfId="0" applyNumberFormat="1" applyFont="1" applyFill="1" applyBorder="1" applyAlignment="1">
      <alignment horizontal="right"/>
    </xf>
    <xf numFmtId="0" fontId="1" fillId="5" borderId="26" xfId="0" applyFont="1" applyFill="1" applyBorder="1" applyAlignment="1">
      <alignment horizontal="right"/>
    </xf>
    <xf numFmtId="0" fontId="6" fillId="0" borderId="32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1" fillId="6" borderId="26" xfId="0" applyFont="1" applyFill="1" applyBorder="1" applyAlignment="1">
      <alignment horizontal="right"/>
    </xf>
    <xf numFmtId="6" fontId="9" fillId="0" borderId="0" xfId="0" applyNumberFormat="1" applyFont="1" applyAlignment="1">
      <alignment horizontal="center"/>
    </xf>
    <xf numFmtId="10" fontId="1" fillId="5" borderId="1" xfId="0" applyNumberFormat="1" applyFont="1" applyFill="1" applyBorder="1" applyAlignment="1">
      <alignment horizontal="center"/>
    </xf>
    <xf numFmtId="6" fontId="1" fillId="5" borderId="13" xfId="0" applyNumberFormat="1" applyFont="1" applyFill="1" applyBorder="1" applyAlignment="1">
      <alignment horizontal="right"/>
    </xf>
    <xf numFmtId="6" fontId="19" fillId="6" borderId="13" xfId="0" applyNumberFormat="1" applyFont="1" applyFill="1" applyBorder="1" applyAlignment="1">
      <alignment horizontal="right"/>
    </xf>
    <xf numFmtId="6" fontId="19" fillId="7" borderId="13" xfId="0" applyNumberFormat="1" applyFont="1" applyFill="1" applyBorder="1" applyAlignment="1">
      <alignment horizontal="right"/>
    </xf>
    <xf numFmtId="6" fontId="10" fillId="0" borderId="0" xfId="0" applyNumberFormat="1" applyFont="1" applyAlignment="1">
      <alignment horizontal="center"/>
    </xf>
    <xf numFmtId="0" fontId="1" fillId="5" borderId="13" xfId="0" applyFont="1" applyFill="1" applyBorder="1" applyAlignment="1">
      <alignment horizontal="right"/>
    </xf>
    <xf numFmtId="9" fontId="1" fillId="0" borderId="0" xfId="0" applyNumberFormat="1" applyFont="1" applyAlignment="1">
      <alignment horizontal="center"/>
    </xf>
    <xf numFmtId="2" fontId="1" fillId="5" borderId="0" xfId="0" applyNumberFormat="1" applyFont="1" applyFill="1" applyBorder="1" applyAlignment="1">
      <alignment horizontal="center"/>
    </xf>
    <xf numFmtId="2" fontId="1" fillId="6" borderId="0" xfId="0" applyNumberFormat="1" applyFont="1" applyFill="1" applyBorder="1" applyAlignment="1">
      <alignment horizontal="center"/>
    </xf>
    <xf numFmtId="2" fontId="1" fillId="7" borderId="0" xfId="0" applyNumberFormat="1" applyFont="1" applyFill="1" applyBorder="1" applyAlignment="1">
      <alignment horizontal="center"/>
    </xf>
    <xf numFmtId="6" fontId="12" fillId="5" borderId="32" xfId="0" applyNumberFormat="1" applyFont="1" applyFill="1" applyBorder="1" applyAlignment="1">
      <alignment horizontal="right"/>
    </xf>
    <xf numFmtId="8" fontId="9" fillId="6" borderId="0" xfId="0" applyNumberFormat="1" applyFont="1" applyFill="1" applyBorder="1" applyAlignment="1">
      <alignment horizontal="right"/>
    </xf>
    <xf numFmtId="8" fontId="12" fillId="5" borderId="32" xfId="0" applyNumberFormat="1" applyFont="1" applyFill="1" applyBorder="1" applyAlignment="1">
      <alignment horizontal="right"/>
    </xf>
    <xf numFmtId="8" fontId="12" fillId="6" borderId="0" xfId="0" applyNumberFormat="1" applyFont="1" applyFill="1" applyBorder="1" applyAlignment="1">
      <alignment horizontal="right"/>
    </xf>
    <xf numFmtId="8" fontId="1" fillId="7" borderId="0" xfId="0" applyNumberFormat="1" applyFont="1" applyFill="1" applyBorder="1" applyAlignment="1">
      <alignment horizontal="right"/>
    </xf>
    <xf numFmtId="8" fontId="1" fillId="3" borderId="0" xfId="0" applyNumberFormat="1" applyFont="1" applyFill="1" applyBorder="1" applyAlignment="1">
      <alignment horizontal="right"/>
    </xf>
    <xf numFmtId="8" fontId="12" fillId="5" borderId="26" xfId="0" applyNumberFormat="1" applyFont="1" applyFill="1" applyBorder="1" applyAlignment="1">
      <alignment horizontal="right"/>
    </xf>
    <xf numFmtId="8" fontId="12" fillId="6" borderId="13" xfId="0" applyNumberFormat="1" applyFont="1" applyFill="1" applyBorder="1" applyAlignment="1">
      <alignment horizontal="right"/>
    </xf>
    <xf numFmtId="8" fontId="9" fillId="6" borderId="13" xfId="0" applyNumberFormat="1" applyFont="1" applyFill="1" applyBorder="1" applyAlignment="1">
      <alignment horizontal="right"/>
    </xf>
    <xf numFmtId="8" fontId="1" fillId="7" borderId="13" xfId="0" applyNumberFormat="1" applyFont="1" applyFill="1" applyBorder="1" applyAlignment="1">
      <alignment horizontal="right"/>
    </xf>
    <xf numFmtId="8" fontId="1" fillId="3" borderId="13" xfId="0" applyNumberFormat="1" applyFont="1" applyFill="1" applyBorder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" fillId="7" borderId="0" xfId="0" applyFont="1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10" fillId="0" borderId="0" xfId="0" applyFont="1"/>
    <xf numFmtId="166" fontId="1" fillId="0" borderId="1" xfId="0" applyNumberFormat="1" applyFont="1" applyBorder="1" applyAlignment="1">
      <alignment horizontal="center"/>
    </xf>
    <xf numFmtId="9" fontId="9" fillId="0" borderId="12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65" fontId="1" fillId="5" borderId="12" xfId="0" applyNumberFormat="1" applyFont="1" applyFill="1" applyBorder="1" applyAlignment="1">
      <alignment horizontal="center"/>
    </xf>
    <xf numFmtId="165" fontId="1" fillId="6" borderId="12" xfId="0" applyNumberFormat="1" applyFont="1" applyFill="1" applyBorder="1" applyAlignment="1">
      <alignment horizontal="center"/>
    </xf>
    <xf numFmtId="9" fontId="1" fillId="3" borderId="1" xfId="0" applyNumberFormat="1" applyFont="1" applyFill="1" applyBorder="1" applyAlignment="1">
      <alignment horizontal="right"/>
    </xf>
    <xf numFmtId="165" fontId="1" fillId="7" borderId="12" xfId="0" applyNumberFormat="1" applyFont="1" applyFill="1" applyBorder="1" applyAlignment="1">
      <alignment horizontal="center"/>
    </xf>
    <xf numFmtId="164" fontId="1" fillId="0" borderId="26" xfId="0" applyNumberFormat="1" applyFont="1" applyBorder="1" applyAlignment="1">
      <alignment horizontal="center"/>
    </xf>
    <xf numFmtId="10" fontId="1" fillId="5" borderId="12" xfId="0" applyNumberFormat="1" applyFont="1" applyFill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165" fontId="20" fillId="0" borderId="13" xfId="0" applyNumberFormat="1" applyFont="1" applyBorder="1" applyAlignment="1">
      <alignment horizontal="center"/>
    </xf>
    <xf numFmtId="165" fontId="1" fillId="5" borderId="13" xfId="0" applyNumberFormat="1" applyFont="1" applyFill="1" applyBorder="1" applyAlignment="1">
      <alignment horizontal="center"/>
    </xf>
    <xf numFmtId="165" fontId="1" fillId="6" borderId="13" xfId="0" applyNumberFormat="1" applyFont="1" applyFill="1" applyBorder="1" applyAlignment="1">
      <alignment horizontal="center"/>
    </xf>
    <xf numFmtId="165" fontId="1" fillId="7" borderId="13" xfId="0" applyNumberFormat="1" applyFont="1" applyFill="1" applyBorder="1" applyAlignment="1">
      <alignment horizontal="center"/>
    </xf>
    <xf numFmtId="0" fontId="1" fillId="0" borderId="32" xfId="0" applyFont="1" applyBorder="1" applyAlignment="1">
      <alignment horizontal="right" wrapText="1"/>
    </xf>
    <xf numFmtId="9" fontId="1" fillId="0" borderId="32" xfId="0" applyNumberFormat="1" applyFont="1" applyBorder="1" applyAlignment="1">
      <alignment horizontal="center" wrapText="1"/>
    </xf>
    <xf numFmtId="0" fontId="1" fillId="5" borderId="32" xfId="0" applyFont="1" applyFill="1" applyBorder="1" applyAlignment="1">
      <alignment horizontal="right" wrapText="1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right" wrapText="1"/>
    </xf>
    <xf numFmtId="6" fontId="1" fillId="6" borderId="12" xfId="0" applyNumberFormat="1" applyFont="1" applyFill="1" applyBorder="1" applyAlignment="1">
      <alignment horizontal="right"/>
    </xf>
    <xf numFmtId="9" fontId="9" fillId="0" borderId="32" xfId="0" applyNumberFormat="1" applyFont="1" applyBorder="1" applyAlignment="1">
      <alignment horizontal="center" wrapText="1"/>
    </xf>
    <xf numFmtId="6" fontId="1" fillId="7" borderId="12" xfId="0" applyNumberFormat="1" applyFont="1" applyFill="1" applyBorder="1" applyAlignment="1">
      <alignment horizontal="right"/>
    </xf>
    <xf numFmtId="6" fontId="1" fillId="3" borderId="12" xfId="0" applyNumberFormat="1" applyFont="1" applyFill="1" applyBorder="1" applyAlignment="1">
      <alignment horizontal="right"/>
    </xf>
    <xf numFmtId="6" fontId="1" fillId="5" borderId="32" xfId="0" applyNumberFormat="1" applyFont="1" applyFill="1" applyBorder="1" applyAlignment="1">
      <alignment horizontal="right" wrapText="1"/>
    </xf>
    <xf numFmtId="9" fontId="1" fillId="5" borderId="1" xfId="0" applyNumberFormat="1" applyFont="1" applyFill="1" applyBorder="1" applyAlignment="1">
      <alignment horizontal="center"/>
    </xf>
    <xf numFmtId="9" fontId="1" fillId="6" borderId="0" xfId="0" applyNumberFormat="1" applyFont="1" applyFill="1" applyBorder="1" applyAlignment="1">
      <alignment horizontal="right"/>
    </xf>
    <xf numFmtId="165" fontId="1" fillId="0" borderId="0" xfId="0" applyNumberFormat="1" applyFont="1" applyAlignment="1">
      <alignment horizontal="center"/>
    </xf>
    <xf numFmtId="164" fontId="1" fillId="6" borderId="0" xfId="0" applyNumberFormat="1" applyFont="1" applyFill="1" applyBorder="1" applyAlignment="1">
      <alignment horizontal="center"/>
    </xf>
    <xf numFmtId="7" fontId="1" fillId="5" borderId="13" xfId="0" applyNumberFormat="1" applyFont="1" applyFill="1" applyBorder="1" applyAlignment="1">
      <alignment horizontal="right"/>
    </xf>
    <xf numFmtId="0" fontId="1" fillId="7" borderId="13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8" fillId="0" borderId="0" xfId="0" applyFont="1" applyBorder="1"/>
    <xf numFmtId="0" fontId="8" fillId="0" borderId="32" xfId="0" applyFont="1" applyBorder="1"/>
    <xf numFmtId="0" fontId="2" fillId="2" borderId="3" xfId="0" applyFont="1" applyFill="1" applyBorder="1" applyAlignment="1">
      <alignment vertical="center"/>
    </xf>
    <xf numFmtId="0" fontId="6" fillId="0" borderId="5" xfId="0" applyFont="1" applyBorder="1" applyAlignment="1">
      <alignment horizontal="right" vertical="center"/>
    </xf>
    <xf numFmtId="0" fontId="8" fillId="0" borderId="1" xfId="0" applyFont="1" applyBorder="1"/>
    <xf numFmtId="0" fontId="8" fillId="0" borderId="26" xfId="0" applyFont="1" applyBorder="1"/>
    <xf numFmtId="0" fontId="8" fillId="0" borderId="32" xfId="0" applyFont="1" applyBorder="1"/>
    <xf numFmtId="0" fontId="8" fillId="0" borderId="12" xfId="0" applyFont="1" applyBorder="1"/>
    <xf numFmtId="0" fontId="8" fillId="0" borderId="0" xfId="0" applyFont="1" applyBorder="1"/>
    <xf numFmtId="0" fontId="1" fillId="36" borderId="39" xfId="0" applyFont="1" applyFill="1" applyBorder="1" applyAlignment="1">
      <alignment horizontal="center"/>
    </xf>
    <xf numFmtId="0" fontId="8" fillId="0" borderId="20" xfId="0" applyFont="1" applyBorder="1"/>
    <xf numFmtId="0" fontId="8" fillId="0" borderId="40" xfId="0" applyFont="1" applyBorder="1"/>
    <xf numFmtId="0" fontId="1" fillId="37" borderId="39" xfId="0" applyFont="1" applyFill="1" applyBorder="1" applyAlignment="1">
      <alignment horizontal="center"/>
    </xf>
    <xf numFmtId="0" fontId="1" fillId="38" borderId="39" xfId="0" applyFont="1" applyFill="1" applyBorder="1" applyAlignment="1">
      <alignment horizontal="center"/>
    </xf>
    <xf numFmtId="0" fontId="1" fillId="39" borderId="20" xfId="0" applyFont="1" applyFill="1" applyBorder="1" applyAlignment="1">
      <alignment horizontal="center"/>
    </xf>
    <xf numFmtId="0" fontId="8" fillId="0" borderId="21" xfId="0" applyFont="1" applyBorder="1"/>
    <xf numFmtId="0" fontId="1" fillId="3" borderId="18" xfId="0" applyFont="1" applyFill="1" applyBorder="1" applyAlignment="1">
      <alignment horizontal="center"/>
    </xf>
    <xf numFmtId="0" fontId="8" fillId="0" borderId="31" xfId="0" applyFont="1" applyBorder="1"/>
    <xf numFmtId="0" fontId="1" fillId="35" borderId="39" xfId="0" applyFont="1" applyFill="1" applyBorder="1" applyAlignment="1">
      <alignment horizontal="center"/>
    </xf>
    <xf numFmtId="0" fontId="1" fillId="26" borderId="33" xfId="0" applyFont="1" applyFill="1" applyBorder="1" applyAlignment="1">
      <alignment horizontal="center"/>
    </xf>
    <xf numFmtId="0" fontId="8" fillId="0" borderId="37" xfId="0" applyFont="1" applyBorder="1"/>
    <xf numFmtId="0" fontId="1" fillId="24" borderId="33" xfId="0" applyFont="1" applyFill="1" applyBorder="1" applyAlignment="1">
      <alignment horizontal="center"/>
    </xf>
    <xf numFmtId="0" fontId="8" fillId="0" borderId="34" xfId="0" applyFont="1" applyBorder="1"/>
    <xf numFmtId="0" fontId="8" fillId="0" borderId="35" xfId="0" applyFont="1" applyBorder="1"/>
    <xf numFmtId="0" fontId="1" fillId="33" borderId="41" xfId="0" applyFont="1" applyFill="1" applyBorder="1" applyAlignment="1">
      <alignment horizontal="center"/>
    </xf>
    <xf numFmtId="0" fontId="8" fillId="0" borderId="42" xfId="0" applyFont="1" applyBorder="1"/>
    <xf numFmtId="0" fontId="8" fillId="0" borderId="43" xfId="0" applyFont="1" applyBorder="1"/>
    <xf numFmtId="0" fontId="6" fillId="3" borderId="18" xfId="0" applyFont="1" applyFill="1" applyBorder="1" applyAlignment="1">
      <alignment horizontal="center"/>
    </xf>
    <xf numFmtId="0" fontId="1" fillId="34" borderId="39" xfId="0" applyFont="1" applyFill="1" applyBorder="1" applyAlignment="1">
      <alignment horizontal="center"/>
    </xf>
    <xf numFmtId="0" fontId="1" fillId="32" borderId="39" xfId="0" applyFont="1" applyFill="1" applyBorder="1" applyAlignment="1">
      <alignment horizontal="center"/>
    </xf>
    <xf numFmtId="0" fontId="6" fillId="6" borderId="18" xfId="0" applyFont="1" applyFill="1" applyBorder="1" applyAlignment="1">
      <alignment horizontal="center"/>
    </xf>
    <xf numFmtId="0" fontId="6" fillId="7" borderId="18" xfId="0" applyFont="1" applyFill="1" applyBorder="1" applyAlignment="1">
      <alignment horizontal="center"/>
    </xf>
    <xf numFmtId="0" fontId="1" fillId="0" borderId="0" xfId="0" applyFont="1" applyFill="1"/>
    <xf numFmtId="0" fontId="0" fillId="0" borderId="0" xfId="0" applyFont="1" applyFill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2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2" fontId="1" fillId="0" borderId="0" xfId="0" applyNumberFormat="1" applyFont="1" applyFill="1" applyBorder="1"/>
    <xf numFmtId="1" fontId="1" fillId="0" borderId="0" xfId="0" applyNumberFormat="1" applyFont="1" applyFill="1" applyBorder="1"/>
    <xf numFmtId="168" fontId="1" fillId="0" borderId="0" xfId="0" applyNumberFormat="1" applyFont="1" applyFill="1" applyBorder="1"/>
    <xf numFmtId="38" fontId="1" fillId="0" borderId="0" xfId="0" applyNumberFormat="1" applyFont="1" applyFill="1" applyBorder="1"/>
    <xf numFmtId="0" fontId="0" fillId="0" borderId="0" xfId="0" applyFont="1" applyFill="1" applyBorder="1"/>
    <xf numFmtId="38" fontId="1" fillId="0" borderId="1" xfId="0" applyNumberFormat="1" applyFont="1" applyFill="1" applyBorder="1"/>
    <xf numFmtId="0" fontId="0" fillId="0" borderId="0" xfId="0" applyFont="1" applyFill="1" applyAlignment="1"/>
    <xf numFmtId="0" fontId="4" fillId="0" borderId="88" xfId="0" applyFont="1" applyBorder="1"/>
    <xf numFmtId="4" fontId="4" fillId="0" borderId="89" xfId="0" applyNumberFormat="1" applyFont="1" applyBorder="1"/>
    <xf numFmtId="0" fontId="0" fillId="0" borderId="89" xfId="0" applyFont="1" applyBorder="1"/>
    <xf numFmtId="0" fontId="0" fillId="0" borderId="90" xfId="0" applyFont="1" applyBorder="1"/>
    <xf numFmtId="0" fontId="4" fillId="0" borderId="91" xfId="0" applyFont="1" applyBorder="1"/>
    <xf numFmtId="4" fontId="4" fillId="0" borderId="0" xfId="0" applyNumberFormat="1" applyFont="1" applyBorder="1"/>
    <xf numFmtId="0" fontId="0" fillId="0" borderId="0" xfId="0" applyFont="1" applyBorder="1"/>
    <xf numFmtId="0" fontId="0" fillId="0" borderId="92" xfId="0" applyFont="1" applyBorder="1"/>
    <xf numFmtId="0" fontId="0" fillId="0" borderId="91" xfId="0" applyFont="1" applyBorder="1"/>
    <xf numFmtId="164" fontId="4" fillId="0" borderId="0" xfId="0" applyNumberFormat="1" applyFont="1" applyBorder="1"/>
    <xf numFmtId="164" fontId="4" fillId="0" borderId="92" xfId="0" applyNumberFormat="1" applyFont="1" applyBorder="1"/>
    <xf numFmtId="10" fontId="4" fillId="0" borderId="0" xfId="0" applyNumberFormat="1" applyFont="1" applyBorder="1"/>
    <xf numFmtId="0" fontId="0" fillId="0" borderId="93" xfId="0" applyFont="1" applyBorder="1"/>
    <xf numFmtId="164" fontId="4" fillId="0" borderId="94" xfId="0" applyNumberFormat="1" applyFont="1" applyBorder="1"/>
    <xf numFmtId="0" fontId="0" fillId="0" borderId="95" xfId="0" applyFont="1" applyBorder="1"/>
    <xf numFmtId="2" fontId="1" fillId="0" borderId="1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6" fillId="0" borderId="12" xfId="0" applyFont="1" applyFill="1" applyBorder="1"/>
    <xf numFmtId="0" fontId="1" fillId="0" borderId="12" xfId="0" applyFont="1" applyFill="1" applyBorder="1"/>
    <xf numFmtId="0" fontId="2" fillId="2" borderId="88" xfId="0" applyFont="1" applyFill="1" applyBorder="1" applyAlignment="1">
      <alignment vertical="center"/>
    </xf>
    <xf numFmtId="0" fontId="2" fillId="2" borderId="89" xfId="0" applyFont="1" applyFill="1" applyBorder="1" applyAlignment="1">
      <alignment vertical="center"/>
    </xf>
    <xf numFmtId="0" fontId="2" fillId="2" borderId="90" xfId="0" applyFont="1" applyFill="1" applyBorder="1" applyAlignment="1">
      <alignment vertical="center"/>
    </xf>
    <xf numFmtId="0" fontId="9" fillId="41" borderId="91" xfId="0" applyFont="1" applyFill="1" applyBorder="1"/>
    <xf numFmtId="0" fontId="9" fillId="0" borderId="92" xfId="0" applyFont="1" applyBorder="1"/>
    <xf numFmtId="0" fontId="9" fillId="0" borderId="91" xfId="0" applyFont="1" applyBorder="1"/>
    <xf numFmtId="0" fontId="9" fillId="0" borderId="0" xfId="0" applyFont="1" applyBorder="1"/>
    <xf numFmtId="0" fontId="9" fillId="42" borderId="91" xfId="0" applyFont="1" applyFill="1" applyBorder="1"/>
    <xf numFmtId="0" fontId="9" fillId="25" borderId="92" xfId="0" applyFont="1" applyFill="1" applyBorder="1"/>
    <xf numFmtId="4" fontId="9" fillId="25" borderId="92" xfId="0" applyNumberFormat="1" applyFont="1" applyFill="1" applyBorder="1" applyAlignment="1">
      <alignment horizontal="right"/>
    </xf>
    <xf numFmtId="0" fontId="1" fillId="0" borderId="91" xfId="0" applyFont="1" applyBorder="1"/>
    <xf numFmtId="0" fontId="1" fillId="0" borderId="0" xfId="0" applyFont="1" applyBorder="1"/>
    <xf numFmtId="0" fontId="1" fillId="0" borderId="92" xfId="0" applyFont="1" applyBorder="1"/>
    <xf numFmtId="0" fontId="1" fillId="0" borderId="9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92" xfId="0" applyFont="1" applyBorder="1" applyAlignment="1">
      <alignment vertical="center"/>
    </xf>
    <xf numFmtId="0" fontId="9" fillId="17" borderId="91" xfId="0" applyFont="1" applyFill="1" applyBorder="1"/>
    <xf numFmtId="0" fontId="1" fillId="0" borderId="92" xfId="0" applyFont="1" applyBorder="1" applyAlignment="1">
      <alignment wrapText="1"/>
    </xf>
    <xf numFmtId="0" fontId="9" fillId="17" borderId="93" xfId="0" applyFont="1" applyFill="1" applyBorder="1"/>
    <xf numFmtId="0" fontId="9" fillId="17" borderId="94" xfId="0" applyFont="1" applyFill="1" applyBorder="1" applyAlignment="1">
      <alignment horizontal="right"/>
    </xf>
    <xf numFmtId="0" fontId="9" fillId="19" borderId="94" xfId="0" applyFont="1" applyFill="1" applyBorder="1"/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2" borderId="99" xfId="0" applyFont="1" applyFill="1" applyBorder="1" applyAlignment="1">
      <alignment vertical="center"/>
    </xf>
    <xf numFmtId="0" fontId="2" fillId="2" borderId="100" xfId="0" applyFont="1" applyFill="1" applyBorder="1" applyAlignment="1">
      <alignment vertical="center"/>
    </xf>
    <xf numFmtId="0" fontId="6" fillId="0" borderId="9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3" borderId="101" xfId="0" applyFont="1" applyFill="1" applyBorder="1"/>
    <xf numFmtId="0" fontId="6" fillId="0" borderId="97" xfId="0" applyFont="1" applyBorder="1" applyAlignment="1">
      <alignment horizontal="center"/>
    </xf>
    <xf numFmtId="0" fontId="6" fillId="3" borderId="98" xfId="0" applyFont="1" applyFill="1" applyBorder="1" applyAlignment="1">
      <alignment horizontal="center"/>
    </xf>
    <xf numFmtId="0" fontId="1" fillId="0" borderId="91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3" borderId="92" xfId="0" applyFont="1" applyFill="1" applyBorder="1" applyAlignment="1">
      <alignment horizontal="center"/>
    </xf>
    <xf numFmtId="2" fontId="1" fillId="3" borderId="102" xfId="0" applyNumberFormat="1" applyFont="1" applyFill="1" applyBorder="1" applyAlignment="1">
      <alignment horizontal="center"/>
    </xf>
    <xf numFmtId="0" fontId="1" fillId="0" borderId="93" xfId="0" applyFont="1" applyBorder="1" applyAlignment="1">
      <alignment horizontal="right"/>
    </xf>
    <xf numFmtId="164" fontId="1" fillId="9" borderId="94" xfId="0" applyNumberFormat="1" applyFont="1" applyFill="1" applyBorder="1" applyAlignment="1">
      <alignment horizontal="center"/>
    </xf>
    <xf numFmtId="0" fontId="0" fillId="0" borderId="94" xfId="0" applyFont="1" applyBorder="1"/>
    <xf numFmtId="0" fontId="1" fillId="8" borderId="94" xfId="0" applyFont="1" applyFill="1" applyBorder="1" applyAlignment="1">
      <alignment horizontal="center"/>
    </xf>
    <xf numFmtId="0" fontId="1" fillId="9" borderId="94" xfId="0" applyFont="1" applyFill="1" applyBorder="1" applyAlignment="1">
      <alignment horizontal="center"/>
    </xf>
    <xf numFmtId="0" fontId="1" fillId="7" borderId="94" xfId="0" applyFont="1" applyFill="1" applyBorder="1" applyAlignment="1">
      <alignment horizontal="center"/>
    </xf>
    <xf numFmtId="0" fontId="1" fillId="3" borderId="94" xfId="0" applyFont="1" applyFill="1" applyBorder="1" applyAlignment="1">
      <alignment horizontal="center"/>
    </xf>
    <xf numFmtId="0" fontId="1" fillId="3" borderId="95" xfId="0" applyFont="1" applyFill="1" applyBorder="1" applyAlignment="1">
      <alignment horizontal="center"/>
    </xf>
    <xf numFmtId="0" fontId="1" fillId="0" borderId="92" xfId="0" applyFont="1" applyFill="1" applyBorder="1"/>
    <xf numFmtId="0" fontId="1" fillId="0" borderId="95" xfId="0" applyFont="1" applyBorder="1"/>
    <xf numFmtId="0" fontId="4" fillId="0" borderId="0" xfId="0" applyFont="1" applyBorder="1"/>
    <xf numFmtId="164" fontId="1" fillId="0" borderId="0" xfId="0" applyNumberFormat="1" applyFont="1" applyBorder="1"/>
    <xf numFmtId="0" fontId="4" fillId="0" borderId="0" xfId="0" applyFont="1" applyFill="1" applyBorder="1"/>
    <xf numFmtId="0" fontId="1" fillId="0" borderId="0" xfId="0" applyFont="1" applyFill="1" applyBorder="1" applyAlignment="1">
      <alignment vertical="center"/>
    </xf>
    <xf numFmtId="6" fontId="1" fillId="0" borderId="0" xfId="0" applyNumberFormat="1" applyFont="1" applyFill="1" applyBorder="1"/>
    <xf numFmtId="5" fontId="1" fillId="0" borderId="0" xfId="0" applyNumberFormat="1" applyFont="1" applyFill="1" applyBorder="1"/>
    <xf numFmtId="164" fontId="1" fillId="0" borderId="0" xfId="0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3" fillId="2" borderId="89" xfId="0" applyFont="1" applyFill="1" applyBorder="1" applyAlignment="1">
      <alignment vertical="center"/>
    </xf>
    <xf numFmtId="0" fontId="4" fillId="2" borderId="89" xfId="0" applyFont="1" applyFill="1" applyBorder="1" applyAlignment="1">
      <alignment vertical="center"/>
    </xf>
    <xf numFmtId="0" fontId="5" fillId="2" borderId="103" xfId="0" applyFont="1" applyFill="1" applyBorder="1" applyAlignment="1">
      <alignment horizontal="right" vertical="center"/>
    </xf>
    <xf numFmtId="0" fontId="5" fillId="2" borderId="104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6" fillId="0" borderId="0" xfId="0" applyFont="1" applyBorder="1"/>
    <xf numFmtId="0" fontId="7" fillId="0" borderId="0" xfId="0" applyFont="1" applyBorder="1"/>
    <xf numFmtId="0" fontId="1" fillId="0" borderId="105" xfId="0" applyFont="1" applyBorder="1"/>
    <xf numFmtId="0" fontId="1" fillId="0" borderId="97" xfId="0" applyFont="1" applyBorder="1" applyAlignment="1">
      <alignment horizontal="center"/>
    </xf>
    <xf numFmtId="0" fontId="1" fillId="0" borderId="109" xfId="0" applyFont="1" applyBorder="1" applyAlignment="1">
      <alignment horizontal="right"/>
    </xf>
    <xf numFmtId="0" fontId="8" fillId="0" borderId="110" xfId="0" applyFont="1" applyBorder="1"/>
    <xf numFmtId="0" fontId="1" fillId="0" borderId="109" xfId="0" applyFont="1" applyBorder="1" applyAlignment="1">
      <alignment horizontal="right" vertical="center"/>
    </xf>
    <xf numFmtId="0" fontId="1" fillId="0" borderId="111" xfId="0" applyFont="1" applyBorder="1" applyAlignment="1">
      <alignment horizontal="right" vertical="center"/>
    </xf>
    <xf numFmtId="0" fontId="1" fillId="0" borderId="96" xfId="0" applyFont="1" applyBorder="1" applyAlignment="1">
      <alignment horizontal="right"/>
    </xf>
    <xf numFmtId="0" fontId="1" fillId="0" borderId="96" xfId="0" applyFont="1" applyBorder="1" applyAlignment="1">
      <alignment horizontal="right"/>
    </xf>
    <xf numFmtId="0" fontId="6" fillId="10" borderId="107" xfId="0" applyFont="1" applyFill="1" applyBorder="1" applyAlignment="1">
      <alignment horizontal="left"/>
    </xf>
    <xf numFmtId="38" fontId="1" fillId="10" borderId="108" xfId="0" applyNumberFormat="1" applyFont="1" applyFill="1" applyBorder="1"/>
    <xf numFmtId="0" fontId="0" fillId="0" borderId="0" xfId="0" applyFont="1" applyBorder="1" applyAlignment="1"/>
    <xf numFmtId="0" fontId="6" fillId="0" borderId="112" xfId="0" applyFont="1" applyBorder="1" applyAlignment="1">
      <alignment horizontal="left"/>
    </xf>
    <xf numFmtId="38" fontId="1" fillId="0" borderId="0" xfId="0" applyNumberFormat="1" applyFont="1" applyBorder="1"/>
    <xf numFmtId="38" fontId="1" fillId="3" borderId="92" xfId="0" applyNumberFormat="1" applyFont="1" applyFill="1" applyBorder="1"/>
    <xf numFmtId="38" fontId="1" fillId="0" borderId="0" xfId="0" applyNumberFormat="1" applyFont="1" applyBorder="1" applyAlignment="1">
      <alignment horizontal="center"/>
    </xf>
    <xf numFmtId="0" fontId="6" fillId="0" borderId="97" xfId="0" applyFont="1" applyBorder="1" applyAlignment="1">
      <alignment horizontal="left"/>
    </xf>
    <xf numFmtId="0" fontId="6" fillId="0" borderId="97" xfId="0" applyFont="1" applyBorder="1"/>
    <xf numFmtId="0" fontId="1" fillId="0" borderId="101" xfId="0" applyFont="1" applyBorder="1"/>
    <xf numFmtId="0" fontId="6" fillId="0" borderId="98" xfId="0" applyFont="1" applyBorder="1" applyAlignment="1">
      <alignment horizontal="center"/>
    </xf>
    <xf numFmtId="0" fontId="6" fillId="0" borderId="113" xfId="0" applyFont="1" applyBorder="1" applyAlignment="1">
      <alignment horizontal="right"/>
    </xf>
    <xf numFmtId="0" fontId="8" fillId="0" borderId="114" xfId="0" applyFont="1" applyBorder="1"/>
    <xf numFmtId="3" fontId="1" fillId="0" borderId="115" xfId="0" applyNumberFormat="1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1" fillId="0" borderId="11" xfId="0" applyFont="1" applyBorder="1" applyAlignment="1">
      <alignment horizontal="right"/>
    </xf>
    <xf numFmtId="0" fontId="1" fillId="0" borderId="116" xfId="0" applyFont="1" applyBorder="1" applyAlignment="1">
      <alignment horizontal="center"/>
    </xf>
    <xf numFmtId="0" fontId="1" fillId="0" borderId="36" xfId="0" applyFont="1" applyBorder="1"/>
    <xf numFmtId="0" fontId="2" fillId="2" borderId="88" xfId="0" applyFont="1" applyFill="1" applyBorder="1" applyAlignment="1">
      <alignment vertical="center"/>
    </xf>
    <xf numFmtId="0" fontId="8" fillId="0" borderId="89" xfId="0" applyFont="1" applyBorder="1"/>
    <xf numFmtId="0" fontId="8" fillId="0" borderId="90" xfId="0" applyFont="1" applyBorder="1"/>
    <xf numFmtId="10" fontId="1" fillId="0" borderId="0" xfId="0" applyNumberFormat="1" applyFont="1" applyBorder="1" applyAlignment="1">
      <alignment horizontal="center"/>
    </xf>
    <xf numFmtId="10" fontId="1" fillId="0" borderId="92" xfId="0" applyNumberFormat="1" applyFont="1" applyBorder="1" applyAlignment="1">
      <alignment horizontal="center"/>
    </xf>
    <xf numFmtId="0" fontId="1" fillId="0" borderId="118" xfId="0" applyFont="1" applyBorder="1" applyAlignment="1">
      <alignment horizontal="right"/>
    </xf>
    <xf numFmtId="0" fontId="1" fillId="0" borderId="0" xfId="0" applyFont="1" applyBorder="1" applyAlignment="1">
      <alignment horizontal="right" vertical="center"/>
    </xf>
    <xf numFmtId="10" fontId="4" fillId="0" borderId="0" xfId="0" applyNumberFormat="1" applyFont="1" applyBorder="1" applyAlignment="1">
      <alignment horizontal="right"/>
    </xf>
    <xf numFmtId="5" fontId="1" fillId="0" borderId="0" xfId="0" applyNumberFormat="1" applyFont="1" applyBorder="1" applyAlignment="1">
      <alignment horizontal="right" vertical="center"/>
    </xf>
    <xf numFmtId="0" fontId="1" fillId="0" borderId="96" xfId="0" applyFont="1" applyBorder="1"/>
    <xf numFmtId="0" fontId="1" fillId="0" borderId="112" xfId="0" applyFont="1" applyBorder="1"/>
    <xf numFmtId="0" fontId="1" fillId="0" borderId="93" xfId="0" applyFont="1" applyBorder="1"/>
    <xf numFmtId="0" fontId="6" fillId="0" borderId="94" xfId="0" applyFont="1" applyBorder="1" applyAlignment="1">
      <alignment horizontal="right"/>
    </xf>
    <xf numFmtId="38" fontId="1" fillId="6" borderId="115" xfId="0" applyNumberFormat="1" applyFont="1" applyFill="1" applyBorder="1"/>
    <xf numFmtId="0" fontId="6" fillId="0" borderId="0" xfId="0" applyFont="1" applyBorder="1" applyAlignment="1">
      <alignment horizontal="center" wrapText="1"/>
    </xf>
    <xf numFmtId="0" fontId="6" fillId="0" borderId="92" xfId="0" applyFont="1" applyBorder="1" applyAlignment="1">
      <alignment horizontal="center" wrapText="1"/>
    </xf>
    <xf numFmtId="0" fontId="1" fillId="10" borderId="121" xfId="0" applyFont="1" applyFill="1" applyBorder="1" applyAlignment="1">
      <alignment horizontal="left"/>
    </xf>
    <xf numFmtId="0" fontId="1" fillId="0" borderId="119" xfId="0" applyFont="1" applyBorder="1" applyAlignment="1">
      <alignment horizontal="right"/>
    </xf>
    <xf numFmtId="0" fontId="1" fillId="10" borderId="125" xfId="0" applyFont="1" applyFill="1" applyBorder="1" applyAlignment="1">
      <alignment horizontal="left"/>
    </xf>
    <xf numFmtId="10" fontId="1" fillId="0" borderId="95" xfId="0" applyNumberFormat="1" applyFont="1" applyBorder="1" applyAlignment="1">
      <alignment horizontal="center"/>
    </xf>
    <xf numFmtId="164" fontId="1" fillId="0" borderId="121" xfId="0" applyNumberFormat="1" applyFont="1" applyBorder="1" applyAlignment="1">
      <alignment vertical="center"/>
    </xf>
    <xf numFmtId="10" fontId="4" fillId="0" borderId="121" xfId="0" applyNumberFormat="1" applyFont="1" applyBorder="1"/>
    <xf numFmtId="10" fontId="1" fillId="0" borderId="125" xfId="0" applyNumberFormat="1" applyFont="1" applyBorder="1" applyAlignment="1">
      <alignment horizontal="center"/>
    </xf>
    <xf numFmtId="38" fontId="1" fillId="0" borderId="102" xfId="0" applyNumberFormat="1" applyFont="1" applyFill="1" applyBorder="1"/>
    <xf numFmtId="0" fontId="2" fillId="2" borderId="128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1" fillId="0" borderId="0" xfId="0" applyFont="1" applyFill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0" fontId="2" fillId="2" borderId="129" xfId="0" applyFont="1" applyFill="1" applyBorder="1" applyAlignment="1">
      <alignment vertical="center"/>
    </xf>
    <xf numFmtId="0" fontId="7" fillId="0" borderId="91" xfId="0" applyFont="1" applyBorder="1" applyAlignment="1">
      <alignment horizontal="center" wrapText="1"/>
    </xf>
    <xf numFmtId="0" fontId="2" fillId="2" borderId="135" xfId="0" applyFont="1" applyFill="1" applyBorder="1" applyAlignment="1">
      <alignment vertical="center"/>
    </xf>
    <xf numFmtId="0" fontId="1" fillId="0" borderId="91" xfId="0" applyFont="1" applyBorder="1" applyAlignment="1">
      <alignment horizontal="right" vertical="center"/>
    </xf>
    <xf numFmtId="0" fontId="6" fillId="0" borderId="133" xfId="0" applyFont="1" applyBorder="1" applyAlignment="1">
      <alignment horizontal="right" vertical="center"/>
    </xf>
    <xf numFmtId="0" fontId="6" fillId="0" borderId="136" xfId="0" applyFont="1" applyBorder="1" applyAlignment="1">
      <alignment horizontal="right" vertical="center"/>
    </xf>
    <xf numFmtId="0" fontId="8" fillId="0" borderId="136" xfId="0" applyFont="1" applyBorder="1"/>
    <xf numFmtId="5" fontId="1" fillId="0" borderId="136" xfId="0" applyNumberFormat="1" applyFont="1" applyBorder="1" applyAlignment="1">
      <alignment vertical="center"/>
    </xf>
    <xf numFmtId="0" fontId="8" fillId="0" borderId="136" xfId="0" applyFont="1" applyBorder="1" applyAlignment="1"/>
    <xf numFmtId="10" fontId="0" fillId="0" borderId="136" xfId="0" applyNumberFormat="1" applyFont="1" applyBorder="1"/>
    <xf numFmtId="0" fontId="6" fillId="0" borderId="124" xfId="0" applyFont="1" applyBorder="1" applyAlignment="1">
      <alignment horizontal="right" vertical="center"/>
    </xf>
    <xf numFmtId="0" fontId="6" fillId="0" borderId="121" xfId="0" applyFont="1" applyBorder="1" applyAlignment="1">
      <alignment horizontal="right" vertical="center"/>
    </xf>
    <xf numFmtId="0" fontId="8" fillId="0" borderId="121" xfId="0" applyFont="1" applyBorder="1"/>
    <xf numFmtId="0" fontId="1" fillId="0" borderId="131" xfId="0" applyFont="1" applyBorder="1" applyAlignment="1">
      <alignment horizontal="right"/>
    </xf>
    <xf numFmtId="3" fontId="1" fillId="0" borderId="131" xfId="0" applyNumberFormat="1" applyFont="1" applyBorder="1" applyAlignment="1">
      <alignment horizontal="right"/>
    </xf>
    <xf numFmtId="0" fontId="1" fillId="0" borderId="136" xfId="0" applyFont="1" applyBorder="1" applyAlignment="1">
      <alignment horizontal="right"/>
    </xf>
    <xf numFmtId="3" fontId="1" fillId="0" borderId="136" xfId="0" applyNumberFormat="1" applyFont="1" applyBorder="1" applyAlignment="1">
      <alignment horizontal="right"/>
    </xf>
    <xf numFmtId="0" fontId="6" fillId="0" borderId="138" xfId="0" applyFont="1" applyBorder="1" applyAlignment="1">
      <alignment horizontal="right"/>
    </xf>
    <xf numFmtId="9" fontId="1" fillId="6" borderId="0" xfId="1" applyFont="1" applyFill="1" applyBorder="1"/>
    <xf numFmtId="9" fontId="1" fillId="7" borderId="0" xfId="1" applyFont="1" applyFill="1" applyBorder="1"/>
    <xf numFmtId="0" fontId="4" fillId="0" borderId="1" xfId="0" applyFont="1" applyBorder="1" applyAlignment="1">
      <alignment horizontal="right"/>
    </xf>
    <xf numFmtId="38" fontId="1" fillId="0" borderId="12" xfId="0" applyNumberFormat="1" applyFont="1" applyBorder="1" applyAlignment="1">
      <alignment horizontal="center"/>
    </xf>
    <xf numFmtId="38" fontId="1" fillId="6" borderId="28" xfId="0" applyNumberFormat="1" applyFont="1" applyFill="1" applyBorder="1"/>
    <xf numFmtId="0" fontId="6" fillId="10" borderId="122" xfId="0" applyFont="1" applyFill="1" applyBorder="1" applyAlignment="1">
      <alignment horizontal="left"/>
    </xf>
    <xf numFmtId="0" fontId="6" fillId="10" borderId="121" xfId="0" applyFont="1" applyFill="1" applyBorder="1" applyAlignment="1">
      <alignment horizontal="left"/>
    </xf>
    <xf numFmtId="38" fontId="1" fillId="10" borderId="121" xfId="0" applyNumberFormat="1" applyFont="1" applyFill="1" applyBorder="1" applyAlignment="1">
      <alignment horizontal="center"/>
    </xf>
    <xf numFmtId="38" fontId="1" fillId="10" borderId="139" xfId="0" applyNumberFormat="1" applyFont="1" applyFill="1" applyBorder="1"/>
    <xf numFmtId="38" fontId="1" fillId="10" borderId="121" xfId="0" applyNumberFormat="1" applyFont="1" applyFill="1" applyBorder="1"/>
    <xf numFmtId="38" fontId="1" fillId="10" borderId="123" xfId="0" applyNumberFormat="1" applyFont="1" applyFill="1" applyBorder="1"/>
    <xf numFmtId="0" fontId="6" fillId="0" borderId="118" xfId="0" applyFont="1" applyBorder="1" applyAlignment="1">
      <alignment horizontal="left"/>
    </xf>
    <xf numFmtId="38" fontId="1" fillId="0" borderId="32" xfId="0" applyNumberFormat="1" applyFont="1" applyBorder="1"/>
    <xf numFmtId="38" fontId="1" fillId="6" borderId="140" xfId="0" applyNumberFormat="1" applyFont="1" applyFill="1" applyBorder="1"/>
    <xf numFmtId="0" fontId="6" fillId="22" borderId="122" xfId="0" applyFont="1" applyFill="1" applyBorder="1" applyAlignment="1">
      <alignment horizontal="left"/>
    </xf>
    <xf numFmtId="0" fontId="8" fillId="0" borderId="121" xfId="0" applyFont="1" applyBorder="1"/>
    <xf numFmtId="38" fontId="1" fillId="22" borderId="121" xfId="0" applyNumberFormat="1" applyFont="1" applyFill="1" applyBorder="1"/>
    <xf numFmtId="38" fontId="1" fillId="22" borderId="121" xfId="0" applyNumberFormat="1" applyFont="1" applyFill="1" applyBorder="1" applyAlignment="1">
      <alignment horizontal="center"/>
    </xf>
    <xf numFmtId="38" fontId="1" fillId="22" borderId="123" xfId="0" applyNumberFormat="1" applyFont="1" applyFill="1" applyBorder="1"/>
    <xf numFmtId="38" fontId="1" fillId="0" borderId="32" xfId="0" applyNumberFormat="1" applyFont="1" applyBorder="1" applyAlignment="1">
      <alignment horizontal="center"/>
    </xf>
    <xf numFmtId="0" fontId="6" fillId="0" borderId="121" xfId="0" applyFont="1" applyBorder="1"/>
    <xf numFmtId="38" fontId="6" fillId="0" borderId="121" xfId="0" applyNumberFormat="1" applyFont="1" applyBorder="1"/>
    <xf numFmtId="38" fontId="1" fillId="0" borderId="121" xfId="0" applyNumberFormat="1" applyFont="1" applyBorder="1" applyAlignment="1">
      <alignment horizontal="center"/>
    </xf>
    <xf numFmtId="0" fontId="6" fillId="0" borderId="91" xfId="0" applyFont="1" applyFill="1" applyBorder="1" applyAlignment="1">
      <alignment horizontal="left"/>
    </xf>
    <xf numFmtId="38" fontId="6" fillId="0" borderId="0" xfId="0" applyNumberFormat="1" applyFont="1" applyBorder="1"/>
    <xf numFmtId="0" fontId="6" fillId="0" borderId="138" xfId="0" applyFont="1" applyBorder="1"/>
    <xf numFmtId="0" fontId="6" fillId="0" borderId="120" xfId="0" applyFont="1" applyBorder="1"/>
    <xf numFmtId="38" fontId="1" fillId="22" borderId="0" xfId="0" applyNumberFormat="1" applyFont="1" applyFill="1" applyBorder="1" applyAlignment="1">
      <alignment horizontal="right"/>
    </xf>
    <xf numFmtId="38" fontId="1" fillId="10" borderId="13" xfId="0" applyNumberFormat="1" applyFont="1" applyFill="1" applyBorder="1" applyAlignment="1">
      <alignment horizontal="center"/>
    </xf>
    <xf numFmtId="0" fontId="6" fillId="0" borderId="124" xfId="0" applyFont="1" applyBorder="1" applyAlignment="1">
      <alignment horizontal="left"/>
    </xf>
    <xf numFmtId="0" fontId="6" fillId="0" borderId="141" xfId="0" applyFont="1" applyBorder="1"/>
    <xf numFmtId="0" fontId="6" fillId="0" borderId="132" xfId="0" applyFont="1" applyBorder="1"/>
    <xf numFmtId="38" fontId="1" fillId="0" borderId="32" xfId="0" applyNumberFormat="1" applyFont="1" applyFill="1" applyBorder="1"/>
    <xf numFmtId="38" fontId="1" fillId="0" borderId="131" xfId="0" applyNumberFormat="1" applyFont="1" applyFill="1" applyBorder="1"/>
    <xf numFmtId="38" fontId="1" fillId="0" borderId="136" xfId="0" applyNumberFormat="1" applyFont="1" applyFill="1" applyBorder="1"/>
    <xf numFmtId="38" fontId="1" fillId="0" borderId="117" xfId="0" applyNumberFormat="1" applyFont="1" applyFill="1" applyBorder="1"/>
    <xf numFmtId="38" fontId="1" fillId="0" borderId="137" xfId="0" applyNumberFormat="1" applyFont="1" applyFill="1" applyBorder="1"/>
    <xf numFmtId="38" fontId="1" fillId="0" borderId="134" xfId="0" applyNumberFormat="1" applyFont="1" applyFill="1" applyBorder="1"/>
    <xf numFmtId="0" fontId="6" fillId="43" borderId="12" xfId="0" applyFont="1" applyFill="1" applyBorder="1"/>
    <xf numFmtId="0" fontId="1" fillId="43" borderId="12" xfId="0" applyFont="1" applyFill="1" applyBorder="1"/>
    <xf numFmtId="0" fontId="6" fillId="43" borderId="13" xfId="0" applyFont="1" applyFill="1" applyBorder="1" applyAlignment="1">
      <alignment horizontal="center"/>
    </xf>
    <xf numFmtId="0" fontId="1" fillId="43" borderId="0" xfId="0" applyFont="1" applyFill="1" applyBorder="1"/>
    <xf numFmtId="2" fontId="1" fillId="43" borderId="1" xfId="0" applyNumberFormat="1" applyFont="1" applyFill="1" applyBorder="1" applyAlignment="1">
      <alignment horizontal="center"/>
    </xf>
    <xf numFmtId="2" fontId="1" fillId="43" borderId="12" xfId="0" applyNumberFormat="1" applyFont="1" applyFill="1" applyBorder="1" applyAlignment="1">
      <alignment horizontal="center"/>
    </xf>
    <xf numFmtId="165" fontId="1" fillId="43" borderId="12" xfId="0" applyNumberFormat="1" applyFont="1" applyFill="1" applyBorder="1" applyAlignment="1">
      <alignment horizontal="center"/>
    </xf>
    <xf numFmtId="9" fontId="1" fillId="43" borderId="12" xfId="0" applyNumberFormat="1" applyFont="1" applyFill="1" applyBorder="1" applyAlignment="1">
      <alignment horizontal="center"/>
    </xf>
    <xf numFmtId="165" fontId="1" fillId="43" borderId="13" xfId="0" applyNumberFormat="1" applyFont="1" applyFill="1" applyBorder="1" applyAlignment="1">
      <alignment horizontal="center"/>
    </xf>
    <xf numFmtId="0" fontId="1" fillId="43" borderId="12" xfId="0" applyFont="1" applyFill="1" applyBorder="1" applyAlignment="1">
      <alignment horizontal="right"/>
    </xf>
    <xf numFmtId="6" fontId="1" fillId="43" borderId="12" xfId="0" applyNumberFormat="1" applyFont="1" applyFill="1" applyBorder="1" applyAlignment="1">
      <alignment horizontal="right"/>
    </xf>
    <xf numFmtId="4" fontId="1" fillId="43" borderId="12" xfId="0" applyNumberFormat="1" applyFont="1" applyFill="1" applyBorder="1" applyAlignment="1">
      <alignment horizontal="right"/>
    </xf>
    <xf numFmtId="3" fontId="1" fillId="43" borderId="12" xfId="0" applyNumberFormat="1" applyFont="1" applyFill="1" applyBorder="1" applyAlignment="1">
      <alignment horizontal="right"/>
    </xf>
    <xf numFmtId="165" fontId="1" fillId="43" borderId="12" xfId="0" applyNumberFormat="1" applyFont="1" applyFill="1" applyBorder="1" applyAlignment="1">
      <alignment horizontal="right"/>
    </xf>
    <xf numFmtId="6" fontId="1" fillId="43" borderId="13" xfId="0" applyNumberFormat="1" applyFont="1" applyFill="1" applyBorder="1" applyAlignment="1">
      <alignment horizontal="right"/>
    </xf>
    <xf numFmtId="0" fontId="1" fillId="43" borderId="13" xfId="0" applyFont="1" applyFill="1" applyBorder="1" applyAlignment="1">
      <alignment horizontal="right"/>
    </xf>
    <xf numFmtId="0" fontId="1" fillId="0" borderId="127" xfId="0" applyFont="1" applyBorder="1" applyAlignment="1">
      <alignment horizontal="center"/>
    </xf>
    <xf numFmtId="0" fontId="1" fillId="5" borderId="127" xfId="0" applyFont="1" applyFill="1" applyBorder="1" applyAlignment="1">
      <alignment horizontal="right"/>
    </xf>
    <xf numFmtId="6" fontId="1" fillId="6" borderId="127" xfId="0" applyNumberFormat="1" applyFont="1" applyFill="1" applyBorder="1" applyAlignment="1">
      <alignment horizontal="right"/>
    </xf>
    <xf numFmtId="6" fontId="1" fillId="7" borderId="127" xfId="0" applyNumberFormat="1" applyFont="1" applyFill="1" applyBorder="1" applyAlignment="1">
      <alignment horizontal="right"/>
    </xf>
    <xf numFmtId="165" fontId="1" fillId="43" borderId="127" xfId="0" applyNumberFormat="1" applyFont="1" applyFill="1" applyBorder="1" applyAlignment="1">
      <alignment horizontal="center"/>
    </xf>
    <xf numFmtId="6" fontId="1" fillId="7" borderId="120" xfId="0" applyNumberFormat="1" applyFont="1" applyFill="1" applyBorder="1" applyAlignment="1">
      <alignment horizontal="right"/>
    </xf>
    <xf numFmtId="165" fontId="1" fillId="43" borderId="120" xfId="0" applyNumberFormat="1" applyFont="1" applyFill="1" applyBorder="1" applyAlignment="1">
      <alignment horizontal="center"/>
    </xf>
    <xf numFmtId="6" fontId="1" fillId="6" borderId="120" xfId="0" applyNumberFormat="1" applyFont="1" applyFill="1" applyBorder="1" applyAlignment="1">
      <alignment horizontal="right"/>
    </xf>
    <xf numFmtId="6" fontId="16" fillId="5" borderId="22" xfId="0" applyNumberFormat="1" applyFont="1" applyFill="1" applyBorder="1" applyAlignment="1">
      <alignment horizontal="center"/>
    </xf>
    <xf numFmtId="0" fontId="16" fillId="5" borderId="12" xfId="0" applyFont="1" applyFill="1" applyBorder="1" applyAlignment="1">
      <alignment horizontal="center"/>
    </xf>
    <xf numFmtId="6" fontId="16" fillId="5" borderId="26" xfId="0" applyNumberFormat="1" applyFont="1" applyFill="1" applyBorder="1" applyAlignment="1">
      <alignment horizontal="center"/>
    </xf>
    <xf numFmtId="10" fontId="16" fillId="5" borderId="26" xfId="0" applyNumberFormat="1" applyFont="1" applyFill="1" applyBorder="1" applyAlignment="1">
      <alignment horizontal="center"/>
    </xf>
    <xf numFmtId="7" fontId="16" fillId="5" borderId="0" xfId="0" applyNumberFormat="1" applyFont="1" applyFill="1" applyBorder="1" applyAlignment="1">
      <alignment horizontal="right"/>
    </xf>
    <xf numFmtId="9" fontId="16" fillId="5" borderId="13" xfId="0" applyNumberFormat="1" applyFont="1" applyFill="1" applyBorder="1" applyAlignment="1">
      <alignment horizontal="center"/>
    </xf>
    <xf numFmtId="7" fontId="16" fillId="5" borderId="26" xfId="0" applyNumberFormat="1" applyFont="1" applyFill="1" applyBorder="1" applyAlignment="1">
      <alignment horizontal="right"/>
    </xf>
    <xf numFmtId="10" fontId="16" fillId="5" borderId="26" xfId="0" applyNumberFormat="1" applyFont="1" applyFill="1" applyBorder="1" applyAlignment="1">
      <alignment horizontal="right"/>
    </xf>
    <xf numFmtId="165" fontId="16" fillId="0" borderId="12" xfId="0" applyNumberFormat="1" applyFont="1" applyBorder="1" applyAlignment="1">
      <alignment horizontal="right"/>
    </xf>
    <xf numFmtId="9" fontId="16" fillId="0" borderId="26" xfId="0" applyNumberFormat="1" applyFont="1" applyBorder="1" applyAlignment="1">
      <alignment horizontal="center"/>
    </xf>
    <xf numFmtId="3" fontId="1" fillId="0" borderId="19" xfId="0" applyNumberFormat="1" applyFont="1" applyBorder="1" applyAlignment="1">
      <alignment horizontal="right"/>
    </xf>
    <xf numFmtId="3" fontId="1" fillId="0" borderId="142" xfId="0" applyNumberFormat="1" applyFont="1" applyBorder="1" applyAlignment="1">
      <alignment horizontal="right"/>
    </xf>
    <xf numFmtId="3" fontId="1" fillId="0" borderId="143" xfId="0" applyNumberFormat="1" applyFont="1" applyBorder="1" applyAlignment="1">
      <alignment horizontal="right"/>
    </xf>
    <xf numFmtId="0" fontId="1" fillId="10" borderId="124" xfId="0" applyFont="1" applyFill="1" applyBorder="1" applyAlignment="1">
      <alignment horizontal="center"/>
    </xf>
    <xf numFmtId="0" fontId="1" fillId="10" borderId="121" xfId="0" applyFont="1" applyFill="1" applyBorder="1" applyAlignment="1">
      <alignment horizontal="center"/>
    </xf>
    <xf numFmtId="10" fontId="1" fillId="0" borderId="145" xfId="0" applyNumberFormat="1" applyFont="1" applyBorder="1" applyAlignment="1">
      <alignment horizontal="center"/>
    </xf>
    <xf numFmtId="0" fontId="1" fillId="10" borderId="146" xfId="0" applyFont="1" applyFill="1" applyBorder="1" applyAlignment="1">
      <alignment horizontal="left"/>
    </xf>
    <xf numFmtId="10" fontId="1" fillId="0" borderId="144" xfId="0" applyNumberFormat="1" applyFont="1" applyBorder="1" applyAlignment="1">
      <alignment horizontal="center"/>
    </xf>
    <xf numFmtId="10" fontId="1" fillId="0" borderId="147" xfId="0" applyNumberFormat="1" applyFont="1" applyBorder="1" applyAlignment="1">
      <alignment horizontal="center"/>
    </xf>
    <xf numFmtId="3" fontId="1" fillId="0" borderId="148" xfId="0" applyNumberFormat="1" applyFont="1" applyBorder="1"/>
    <xf numFmtId="10" fontId="1" fillId="0" borderId="149" xfId="0" applyNumberFormat="1" applyFont="1" applyBorder="1" applyAlignment="1">
      <alignment horizontal="center"/>
    </xf>
    <xf numFmtId="10" fontId="1" fillId="0" borderId="150" xfId="0" applyNumberFormat="1" applyFont="1" applyBorder="1" applyAlignment="1">
      <alignment horizontal="center"/>
    </xf>
    <xf numFmtId="3" fontId="1" fillId="0" borderId="130" xfId="0" applyNumberFormat="1" applyFont="1" applyBorder="1" applyAlignment="1">
      <alignment horizontal="right"/>
    </xf>
    <xf numFmtId="3" fontId="1" fillId="0" borderId="96" xfId="0" applyNumberFormat="1" applyFont="1" applyBorder="1" applyAlignment="1">
      <alignment horizontal="right"/>
    </xf>
    <xf numFmtId="3" fontId="1" fillId="0" borderId="126" xfId="0" applyNumberFormat="1" applyFont="1" applyBorder="1" applyAlignment="1">
      <alignment horizontal="right"/>
    </xf>
    <xf numFmtId="0" fontId="6" fillId="10" borderId="106" xfId="0" applyFont="1" applyFill="1" applyBorder="1" applyAlignment="1">
      <alignment horizontal="left"/>
    </xf>
    <xf numFmtId="0" fontId="1" fillId="10" borderId="97" xfId="0" applyFont="1" applyFill="1" applyBorder="1" applyAlignment="1">
      <alignment horizontal="left"/>
    </xf>
    <xf numFmtId="0" fontId="1" fillId="10" borderId="13" xfId="0" applyFont="1" applyFill="1" applyBorder="1" applyAlignment="1">
      <alignment horizontal="left"/>
    </xf>
    <xf numFmtId="0" fontId="1" fillId="0" borderId="151" xfId="0" applyFont="1" applyBorder="1" applyAlignment="1">
      <alignment horizontal="right"/>
    </xf>
    <xf numFmtId="0" fontId="1" fillId="0" borderId="151" xfId="0" applyFont="1" applyBorder="1" applyAlignment="1">
      <alignment horizontal="right"/>
    </xf>
    <xf numFmtId="0" fontId="8" fillId="0" borderId="151" xfId="0" applyFont="1" applyBorder="1"/>
    <xf numFmtId="0" fontId="1" fillId="0" borderId="151" xfId="0" applyFont="1" applyBorder="1" applyAlignment="1">
      <alignment horizontal="right" vertical="center"/>
    </xf>
    <xf numFmtId="0" fontId="0" fillId="0" borderId="151" xfId="0" applyFont="1" applyBorder="1" applyAlignment="1"/>
    <xf numFmtId="0" fontId="15" fillId="0" borderId="151" xfId="0" applyFont="1" applyBorder="1" applyAlignment="1">
      <alignment horizontal="right"/>
    </xf>
    <xf numFmtId="0" fontId="6" fillId="0" borderId="151" xfId="0" applyFont="1" applyBorder="1" applyAlignment="1">
      <alignment horizontal="right"/>
    </xf>
    <xf numFmtId="166" fontId="1" fillId="0" borderId="138" xfId="0" applyNumberFormat="1" applyFont="1" applyFill="1" applyBorder="1" applyAlignment="1">
      <alignment horizontal="center"/>
    </xf>
    <xf numFmtId="166" fontId="1" fillId="0" borderId="120" xfId="0" applyNumberFormat="1" applyFont="1" applyFill="1" applyBorder="1" applyAlignment="1">
      <alignment horizontal="center"/>
    </xf>
    <xf numFmtId="38" fontId="1" fillId="0" borderId="152" xfId="0" applyNumberFormat="1" applyFont="1" applyBorder="1" applyAlignment="1">
      <alignment horizontal="center"/>
    </xf>
    <xf numFmtId="38" fontId="1" fillId="0" borderId="151" xfId="0" applyNumberFormat="1" applyFont="1" applyBorder="1" applyAlignment="1">
      <alignment horizontal="center"/>
    </xf>
    <xf numFmtId="9" fontId="1" fillId="5" borderId="151" xfId="1" applyFont="1" applyFill="1" applyBorder="1"/>
    <xf numFmtId="0" fontId="1" fillId="5" borderId="151" xfId="0" applyFont="1" applyFill="1" applyBorder="1"/>
    <xf numFmtId="9" fontId="6" fillId="7" borderId="153" xfId="1" applyFont="1" applyFill="1" applyBorder="1"/>
    <xf numFmtId="38" fontId="4" fillId="0" borderId="1" xfId="0" applyNumberFormat="1" applyFont="1" applyBorder="1"/>
    <xf numFmtId="38" fontId="4" fillId="0" borderId="12" xfId="0" applyNumberFormat="1" applyFont="1" applyBorder="1"/>
    <xf numFmtId="38" fontId="4" fillId="5" borderId="151" xfId="0" applyNumberFormat="1" applyFont="1" applyFill="1" applyBorder="1"/>
    <xf numFmtId="38" fontId="4" fillId="6" borderId="151" xfId="0" applyNumberFormat="1" applyFont="1" applyFill="1" applyBorder="1"/>
    <xf numFmtId="38" fontId="1" fillId="3" borderId="151" xfId="0" applyNumberFormat="1" applyFont="1" applyFill="1" applyBorder="1"/>
    <xf numFmtId="38" fontId="1" fillId="7" borderId="151" xfId="0" applyNumberFormat="1" applyFont="1" applyFill="1" applyBorder="1"/>
    <xf numFmtId="38" fontId="1" fillId="5" borderId="151" xfId="0" applyNumberFormat="1" applyFont="1" applyFill="1" applyBorder="1"/>
    <xf numFmtId="38" fontId="1" fillId="6" borderId="151" xfId="0" applyNumberFormat="1" applyFont="1" applyFill="1" applyBorder="1"/>
    <xf numFmtId="38" fontId="1" fillId="5" borderId="155" xfId="0" applyNumberFormat="1" applyFont="1" applyFill="1" applyBorder="1"/>
    <xf numFmtId="38" fontId="1" fillId="6" borderId="155" xfId="0" applyNumberFormat="1" applyFont="1" applyFill="1" applyBorder="1"/>
    <xf numFmtId="38" fontId="1" fillId="6" borderId="120" xfId="0" applyNumberFormat="1" applyFont="1" applyFill="1" applyBorder="1"/>
    <xf numFmtId="38" fontId="1" fillId="7" borderId="120" xfId="0" applyNumberFormat="1" applyFont="1" applyFill="1" applyBorder="1"/>
    <xf numFmtId="38" fontId="1" fillId="3" borderId="120" xfId="0" applyNumberFormat="1" applyFont="1" applyFill="1" applyBorder="1"/>
    <xf numFmtId="38" fontId="1" fillId="3" borderId="154" xfId="0" applyNumberFormat="1" applyFont="1" applyFill="1" applyBorder="1"/>
    <xf numFmtId="0" fontId="6" fillId="6" borderId="156" xfId="0" applyFont="1" applyFill="1" applyBorder="1"/>
    <xf numFmtId="0" fontId="1" fillId="7" borderId="157" xfId="0" applyFont="1" applyFill="1" applyBorder="1"/>
    <xf numFmtId="0" fontId="1" fillId="7" borderId="158" xfId="0" applyFont="1" applyFill="1" applyBorder="1"/>
    <xf numFmtId="0" fontId="6" fillId="6" borderId="159" xfId="0" applyFont="1" applyFill="1" applyBorder="1"/>
    <xf numFmtId="0" fontId="1" fillId="7" borderId="160" xfId="0" applyFont="1" applyFill="1" applyBorder="1"/>
    <xf numFmtId="0" fontId="1" fillId="7" borderId="161" xfId="0" applyFont="1" applyFill="1" applyBorder="1"/>
    <xf numFmtId="38" fontId="1" fillId="7" borderId="157" xfId="0" applyNumberFormat="1" applyFont="1" applyFill="1" applyBorder="1"/>
    <xf numFmtId="38" fontId="1" fillId="7" borderId="162" xfId="0" applyNumberFormat="1" applyFont="1" applyFill="1" applyBorder="1"/>
    <xf numFmtId="9" fontId="1" fillId="3" borderId="151" xfId="1" applyFont="1" applyFill="1" applyBorder="1"/>
    <xf numFmtId="0" fontId="1" fillId="3" borderId="151" xfId="0" applyFont="1" applyFill="1" applyBorder="1"/>
    <xf numFmtId="38" fontId="1" fillId="5" borderId="163" xfId="0" applyNumberFormat="1" applyFont="1" applyFill="1" applyBorder="1"/>
    <xf numFmtId="38" fontId="1" fillId="6" borderId="163" xfId="0" applyNumberFormat="1" applyFont="1" applyFill="1" applyBorder="1"/>
    <xf numFmtId="38" fontId="1" fillId="7" borderId="163" xfId="0" applyNumberFormat="1" applyFont="1" applyFill="1" applyBorder="1"/>
    <xf numFmtId="38" fontId="1" fillId="3" borderId="163" xfId="0" applyNumberFormat="1" applyFont="1" applyFill="1" applyBorder="1"/>
    <xf numFmtId="38" fontId="1" fillId="3" borderId="163" xfId="0" applyNumberFormat="1" applyFont="1" applyFill="1" applyBorder="1"/>
    <xf numFmtId="0" fontId="8" fillId="0" borderId="163" xfId="0" applyFont="1" applyBorder="1"/>
    <xf numFmtId="38" fontId="1" fillId="5" borderId="153" xfId="0" applyNumberFormat="1" applyFont="1" applyFill="1" applyBorder="1"/>
    <xf numFmtId="38" fontId="1" fillId="6" borderId="153" xfId="0" applyNumberFormat="1" applyFont="1" applyFill="1" applyBorder="1"/>
    <xf numFmtId="38" fontId="1" fillId="7" borderId="153" xfId="0" applyNumberFormat="1" applyFont="1" applyFill="1" applyBorder="1"/>
    <xf numFmtId="38" fontId="1" fillId="3" borderId="153" xfId="0" applyNumberFormat="1" applyFont="1" applyFill="1" applyBorder="1"/>
    <xf numFmtId="0" fontId="1" fillId="0" borderId="91" xfId="0" applyFont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92" xfId="0" applyFont="1" applyFill="1" applyBorder="1" applyAlignment="1">
      <alignment horizontal="center"/>
    </xf>
    <xf numFmtId="0" fontId="1" fillId="0" borderId="111" xfId="0" applyFont="1" applyBorder="1" applyAlignment="1">
      <alignment horizontal="right"/>
    </xf>
    <xf numFmtId="38" fontId="4" fillId="5" borderId="163" xfId="0" applyNumberFormat="1" applyFont="1" applyFill="1" applyBorder="1"/>
    <xf numFmtId="38" fontId="4" fillId="6" borderId="163" xfId="0" applyNumberFormat="1" applyFont="1" applyFill="1" applyBorder="1"/>
    <xf numFmtId="38" fontId="4" fillId="7" borderId="163" xfId="0" applyNumberFormat="1" applyFont="1" applyFill="1" applyBorder="1"/>
    <xf numFmtId="0" fontId="6" fillId="10" borderId="122" xfId="0" applyFont="1" applyFill="1" applyBorder="1" applyAlignment="1">
      <alignment horizontal="left"/>
    </xf>
    <xf numFmtId="0" fontId="8" fillId="0" borderId="123" xfId="0" applyFont="1" applyBorder="1"/>
    <xf numFmtId="0" fontId="1" fillId="3" borderId="153" xfId="0" applyFont="1" applyFill="1" applyBorder="1"/>
    <xf numFmtId="0" fontId="6" fillId="3" borderId="153" xfId="0" applyFont="1" applyFill="1" applyBorder="1" applyAlignment="1">
      <alignment horizontal="right" vertical="center"/>
    </xf>
    <xf numFmtId="38" fontId="1" fillId="3" borderId="164" xfId="0" applyNumberFormat="1" applyFont="1" applyFill="1" applyBorder="1"/>
    <xf numFmtId="38" fontId="1" fillId="5" borderId="165" xfId="0" applyNumberFormat="1" applyFont="1" applyFill="1" applyBorder="1"/>
    <xf numFmtId="38" fontId="1" fillId="7" borderId="165" xfId="0" applyNumberFormat="1" applyFont="1" applyFill="1" applyBorder="1"/>
    <xf numFmtId="38" fontId="1" fillId="3" borderId="165" xfId="0" applyNumberFormat="1" applyFont="1" applyFill="1" applyBorder="1"/>
    <xf numFmtId="38" fontId="1" fillId="3" borderId="166" xfId="0" applyNumberFormat="1" applyFont="1" applyFill="1" applyBorder="1"/>
  </cellXfs>
  <cellStyles count="8">
    <cellStyle name="Followed Hyperlink" xfId="3" builtinId="9" hidden="1"/>
    <cellStyle name="Followed Hyperlink" xfId="5" builtinId="9" hidden="1"/>
    <cellStyle name="Followed Hyperlink" xfId="7" builtinId="9" hidden="1"/>
    <cellStyle name="Hyperlink" xfId="2" builtinId="8" hidden="1"/>
    <cellStyle name="Hyperlink" xfId="4" builtinId="8" hidden="1"/>
    <cellStyle name="Hyperlink" xfId="6" builtinId="8" hidden="1"/>
    <cellStyle name="Normal" xfId="0" builtinId="0"/>
    <cellStyle name="Percent" xfId="1" builtinId="5"/>
  </cellStyles>
  <dxfs count="6"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406400</xdr:colOff>
      <xdr:row>77</xdr:row>
      <xdr:rowOff>0</xdr:rowOff>
    </xdr:to>
    <xdr:sp macro="" textlink="">
      <xdr:nvSpPr>
        <xdr:cNvPr id="2050" name="Rectangle 2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406400</xdr:colOff>
      <xdr:row>77</xdr:row>
      <xdr:rowOff>0</xdr:rowOff>
    </xdr:to>
    <xdr:sp macro="" textlink="">
      <xdr:nvSpPr>
        <xdr:cNvPr id="2" name="AutoShape 2"/>
        <xdr:cNvSpPr>
          <a:spLocks noChangeArrowheads="1"/>
        </xdr:cNvSpPr>
      </xdr:nvSpPr>
      <xdr:spPr bwMode="auto">
        <a:xfrm>
          <a:off x="0" y="0"/>
          <a:ext cx="12700000" cy="1270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419100</xdr:colOff>
      <xdr:row>77</xdr:row>
      <xdr:rowOff>114300</xdr:rowOff>
    </xdr:to>
    <xdr:sp macro="" textlink="">
      <xdr:nvSpPr>
        <xdr:cNvPr id="1026" name="Rectangle 2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419100</xdr:colOff>
      <xdr:row>77</xdr:row>
      <xdr:rowOff>114300</xdr:rowOff>
    </xdr:to>
    <xdr:sp macro="" textlink="">
      <xdr:nvSpPr>
        <xdr:cNvPr id="2" name="AutoShape 2"/>
        <xdr:cNvSpPr>
          <a:spLocks noChangeArrowheads="1"/>
        </xdr:cNvSpPr>
      </xdr:nvSpPr>
      <xdr:spPr bwMode="auto">
        <a:xfrm>
          <a:off x="0" y="0"/>
          <a:ext cx="12700000" cy="1270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D994"/>
  <sheetViews>
    <sheetView tabSelected="1" zoomScaleNormal="150" zoomScalePageLayoutView="150" workbookViewId="0">
      <selection sqref="A1:N112"/>
    </sheetView>
  </sheetViews>
  <sheetFormatPr baseColWidth="10" defaultColWidth="17.33203125" defaultRowHeight="15" customHeight="1" x14ac:dyDescent="0.15"/>
  <cols>
    <col min="1" max="1" width="19" customWidth="1"/>
    <col min="2" max="2" width="13.33203125" customWidth="1"/>
    <col min="3" max="3" width="10.6640625" customWidth="1"/>
    <col min="4" max="4" width="10" customWidth="1"/>
    <col min="5" max="5" width="12.5" customWidth="1"/>
    <col min="6" max="6" width="15.6640625" customWidth="1"/>
    <col min="7" max="7" width="14.83203125" customWidth="1"/>
    <col min="8" max="8" width="13.5" customWidth="1"/>
    <col min="9" max="9" width="13.1640625" customWidth="1"/>
    <col min="10" max="11" width="13.6640625" customWidth="1"/>
    <col min="12" max="12" width="12.33203125" customWidth="1"/>
    <col min="13" max="13" width="12.6640625" customWidth="1"/>
    <col min="14" max="14" width="12.5" customWidth="1"/>
    <col min="15" max="15" width="9.6640625" customWidth="1"/>
    <col min="16" max="16" width="9.1640625" customWidth="1"/>
    <col min="17" max="17" width="13.33203125" customWidth="1"/>
    <col min="18" max="18" width="41.5" customWidth="1"/>
    <col min="19" max="19" width="30" customWidth="1"/>
    <col min="20" max="20" width="30.1640625" customWidth="1"/>
    <col min="21" max="21" width="12" customWidth="1"/>
    <col min="22" max="23" width="10" customWidth="1"/>
    <col min="24" max="25" width="9.1640625" customWidth="1"/>
    <col min="26" max="30" width="10" customWidth="1"/>
  </cols>
  <sheetData>
    <row r="1" spans="1:30" ht="13.5" customHeight="1" x14ac:dyDescent="0.15">
      <c r="A1" s="732" t="s">
        <v>1</v>
      </c>
      <c r="B1" s="733"/>
      <c r="C1" s="785"/>
      <c r="D1" s="785"/>
      <c r="E1" s="786"/>
      <c r="F1" s="786"/>
      <c r="G1" s="786"/>
      <c r="H1" s="786"/>
      <c r="I1" s="786"/>
      <c r="J1" s="786"/>
      <c r="K1" s="786"/>
      <c r="L1" s="786"/>
      <c r="M1" s="787" t="s">
        <v>3</v>
      </c>
      <c r="N1" s="788">
        <v>176272</v>
      </c>
      <c r="O1" s="778"/>
      <c r="P1" s="779"/>
      <c r="Q1" s="779"/>
      <c r="R1" s="779"/>
      <c r="S1" s="779"/>
      <c r="T1" s="779"/>
      <c r="U1" s="5"/>
      <c r="V1" s="5"/>
      <c r="W1" s="5"/>
      <c r="X1" s="5"/>
      <c r="Y1" s="5"/>
      <c r="Z1" s="5"/>
      <c r="AA1" s="5"/>
      <c r="AB1" s="5"/>
      <c r="AC1" s="2"/>
      <c r="AD1" s="2"/>
    </row>
    <row r="2" spans="1:30" ht="11.25" customHeight="1" x14ac:dyDescent="0.15">
      <c r="A2" s="742"/>
      <c r="B2" s="743"/>
      <c r="C2" s="789"/>
      <c r="D2" s="789"/>
      <c r="E2" s="790"/>
      <c r="F2" s="791"/>
      <c r="G2" s="743"/>
      <c r="H2" s="743"/>
      <c r="I2" s="743"/>
      <c r="J2" s="743"/>
      <c r="K2" s="743"/>
      <c r="L2" s="743"/>
      <c r="M2" s="743"/>
      <c r="N2" s="792"/>
      <c r="O2" s="701"/>
      <c r="P2" s="701"/>
      <c r="Q2" s="701"/>
      <c r="R2" s="701"/>
      <c r="S2" s="701"/>
      <c r="T2" s="701"/>
      <c r="U2" s="7"/>
      <c r="V2" s="7"/>
      <c r="W2" s="7"/>
      <c r="X2" s="7"/>
      <c r="Y2" s="7"/>
      <c r="Z2" s="7"/>
      <c r="AA2" s="7"/>
      <c r="AB2" s="7"/>
      <c r="AC2" s="2"/>
      <c r="AD2" s="2"/>
    </row>
    <row r="3" spans="1:30" ht="11.25" customHeight="1" x14ac:dyDescent="0.15">
      <c r="A3" s="742"/>
      <c r="B3" s="743"/>
      <c r="C3" s="789" t="s">
        <v>16</v>
      </c>
      <c r="D3" s="789" t="s">
        <v>18</v>
      </c>
      <c r="E3" s="15" t="s">
        <v>19</v>
      </c>
      <c r="F3" s="17" t="s">
        <v>20</v>
      </c>
      <c r="G3" s="17"/>
      <c r="H3" s="18" t="s">
        <v>21</v>
      </c>
      <c r="I3" s="19"/>
      <c r="J3" s="18"/>
      <c r="K3" s="20" t="s">
        <v>22</v>
      </c>
      <c r="L3" s="21"/>
      <c r="M3" s="21"/>
      <c r="N3" s="759"/>
      <c r="O3" s="701"/>
      <c r="P3" s="701"/>
      <c r="Q3" s="701"/>
      <c r="R3" s="701"/>
      <c r="S3" s="701"/>
      <c r="T3" s="701"/>
      <c r="U3" s="7"/>
      <c r="V3" s="7"/>
      <c r="W3" s="7"/>
      <c r="X3" s="7"/>
      <c r="Y3" s="7"/>
      <c r="Z3" s="7"/>
      <c r="AA3" s="7"/>
      <c r="AB3" s="7"/>
      <c r="AC3" s="2"/>
      <c r="AD3" s="2"/>
    </row>
    <row r="4" spans="1:30" ht="11.25" customHeight="1" x14ac:dyDescent="0.15">
      <c r="A4" s="1002"/>
      <c r="B4" s="758"/>
      <c r="C4" s="753"/>
      <c r="D4" s="753" t="s">
        <v>24</v>
      </c>
      <c r="E4" s="1003">
        <v>2019</v>
      </c>
      <c r="F4" s="1004">
        <f>E4+1</f>
        <v>2020</v>
      </c>
      <c r="G4" s="1004">
        <f>F4+1</f>
        <v>2021</v>
      </c>
      <c r="H4" s="1005">
        <f>G4+1</f>
        <v>2022</v>
      </c>
      <c r="I4" s="1005">
        <f>H4+1</f>
        <v>2023</v>
      </c>
      <c r="J4" s="1005">
        <f>I4+1</f>
        <v>2024</v>
      </c>
      <c r="K4" s="1006">
        <f>J4+1</f>
        <v>2025</v>
      </c>
      <c r="L4" s="1006">
        <f>K4+1</f>
        <v>2026</v>
      </c>
      <c r="M4" s="1006">
        <f>L4+1</f>
        <v>2027</v>
      </c>
      <c r="N4" s="1007">
        <f>M4+1</f>
        <v>2028</v>
      </c>
      <c r="O4" s="754"/>
      <c r="P4" s="701"/>
      <c r="Q4" s="701"/>
      <c r="R4" s="701"/>
      <c r="S4" s="701"/>
      <c r="T4" s="701"/>
      <c r="U4" s="7"/>
      <c r="V4" s="7"/>
      <c r="W4" s="7"/>
      <c r="X4" s="7"/>
      <c r="Y4" s="7"/>
      <c r="Z4" s="7"/>
      <c r="AA4" s="7"/>
      <c r="AB4" s="7"/>
      <c r="AC4" s="2"/>
      <c r="AD4" s="2"/>
    </row>
    <row r="5" spans="1:30" ht="11.25" customHeight="1" x14ac:dyDescent="0.15">
      <c r="A5" s="1012" t="s">
        <v>30</v>
      </c>
      <c r="B5" s="879"/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1013"/>
      <c r="O5" s="701"/>
      <c r="P5" s="701"/>
      <c r="Q5" s="701"/>
      <c r="R5" s="701"/>
      <c r="S5" s="701"/>
      <c r="T5" s="701"/>
      <c r="U5" s="7"/>
      <c r="V5" s="7"/>
      <c r="W5" s="7"/>
      <c r="X5" s="7"/>
      <c r="Y5" s="7"/>
      <c r="Z5" s="7"/>
      <c r="AA5" s="7"/>
      <c r="AB5" s="7"/>
      <c r="AC5" s="2"/>
      <c r="AD5" s="2"/>
    </row>
    <row r="6" spans="1:30" ht="11.25" customHeight="1" x14ac:dyDescent="0.15">
      <c r="A6" s="1008" t="s">
        <v>33</v>
      </c>
      <c r="B6" s="51" t="s">
        <v>34</v>
      </c>
      <c r="C6" s="178">
        <f>SUM(D6:N6)</f>
        <v>7160355.9433082528</v>
      </c>
      <c r="D6" s="969"/>
      <c r="E6" s="1009"/>
      <c r="F6" s="1010"/>
      <c r="G6" s="1010"/>
      <c r="H6" s="1011"/>
      <c r="I6" s="1011"/>
      <c r="J6" s="1011"/>
      <c r="K6" s="995">
        <f>'3. Upscale Rental Apartments'!J19</f>
        <v>0</v>
      </c>
      <c r="L6" s="995">
        <f>'3. Upscale Rental Apartments'!K19</f>
        <v>1943692.3074418893</v>
      </c>
      <c r="M6" s="995">
        <f>'3. Upscale Rental Apartments'!L19</f>
        <v>2478207.6919884081</v>
      </c>
      <c r="N6" s="995">
        <f>'3. Upscale Rental Apartments'!M19</f>
        <v>2738455.9438779559</v>
      </c>
      <c r="O6" s="778"/>
      <c r="P6" s="778"/>
      <c r="Q6" s="778"/>
      <c r="R6" s="778"/>
      <c r="S6" s="778"/>
      <c r="T6" s="778"/>
      <c r="U6" s="4"/>
      <c r="V6" s="4"/>
      <c r="W6" s="4"/>
      <c r="X6" s="4"/>
      <c r="Y6" s="4"/>
      <c r="Z6" s="4"/>
      <c r="AA6" s="4"/>
      <c r="AB6" s="4"/>
      <c r="AC6" s="2"/>
      <c r="AD6" s="2"/>
    </row>
    <row r="7" spans="1:30" ht="11.25" customHeight="1" x14ac:dyDescent="0.15">
      <c r="A7" s="795"/>
      <c r="B7" s="51" t="s">
        <v>38</v>
      </c>
      <c r="C7" s="41">
        <f>SUM(D7:N7)</f>
        <v>37626492.575108081</v>
      </c>
      <c r="D7" s="969"/>
      <c r="E7" s="970"/>
      <c r="F7" s="971"/>
      <c r="G7" s="971"/>
      <c r="H7" s="973">
        <f>'4. Condominiums'!G20</f>
        <v>0</v>
      </c>
      <c r="I7" s="973">
        <f>'4. Condominiums'!H20</f>
        <v>0</v>
      </c>
      <c r="J7" s="973">
        <f>'4. Condominiums'!I20</f>
        <v>0</v>
      </c>
      <c r="K7" s="972">
        <f>'4. Condominiums'!J20</f>
        <v>0</v>
      </c>
      <c r="L7" s="972">
        <f>'4. Condominiums'!K20</f>
        <v>12981846.985435601</v>
      </c>
      <c r="M7" s="972">
        <f>'4. Condominiums'!L20</f>
        <v>15835535.13526975</v>
      </c>
      <c r="N7" s="972">
        <f>'4. Condominiums'!M20</f>
        <v>8809110.4544027336</v>
      </c>
      <c r="O7" s="778"/>
      <c r="P7" s="778"/>
      <c r="Q7" s="778"/>
      <c r="R7" s="778"/>
      <c r="S7" s="778"/>
      <c r="T7" s="778"/>
      <c r="U7" s="4"/>
      <c r="V7" s="4"/>
      <c r="W7" s="4"/>
      <c r="X7" s="4"/>
      <c r="Y7" s="4"/>
      <c r="Z7" s="4"/>
      <c r="AA7" s="4"/>
      <c r="AB7" s="4"/>
      <c r="AC7" s="2"/>
      <c r="AD7" s="2"/>
    </row>
    <row r="8" spans="1:30" ht="11.25" customHeight="1" x14ac:dyDescent="0.15">
      <c r="A8" s="796" t="s">
        <v>45</v>
      </c>
      <c r="B8" s="666" t="s">
        <v>34</v>
      </c>
      <c r="C8" s="41">
        <f>SUM(D8:N8)</f>
        <v>3447433.4073922471</v>
      </c>
      <c r="D8" s="60"/>
      <c r="E8" s="974"/>
      <c r="F8" s="975"/>
      <c r="G8" s="975"/>
      <c r="H8" s="973"/>
      <c r="I8" s="973"/>
      <c r="J8" s="973"/>
      <c r="K8" s="972"/>
      <c r="L8" s="972">
        <f>'7. Market Rental Apartments'!K19</f>
        <v>1061241.8100078027</v>
      </c>
      <c r="M8" s="972">
        <f>'7. Market Rental Apartments'!L19</f>
        <v>1147733.0175234387</v>
      </c>
      <c r="N8" s="972">
        <f>'7. Market Rental Apartments'!M19</f>
        <v>1238458.5798610058</v>
      </c>
      <c r="O8" s="778"/>
      <c r="P8" s="701"/>
      <c r="Q8" s="701"/>
      <c r="R8" s="701"/>
      <c r="S8" s="701"/>
      <c r="T8" s="701"/>
      <c r="U8" s="7"/>
      <c r="V8" s="7"/>
      <c r="W8" s="7"/>
      <c r="X8" s="7"/>
      <c r="Y8" s="7"/>
      <c r="Z8" s="7"/>
      <c r="AA8" s="7"/>
      <c r="AB8" s="7"/>
      <c r="AC8" s="2"/>
      <c r="AD8" s="2"/>
    </row>
    <row r="9" spans="1:30" ht="11.25" customHeight="1" x14ac:dyDescent="0.15">
      <c r="A9" s="797" t="s">
        <v>51</v>
      </c>
      <c r="B9" s="666" t="s">
        <v>34</v>
      </c>
      <c r="C9" s="41">
        <f>SUM(D9:N9)</f>
        <v>6113787.1134979939</v>
      </c>
      <c r="D9" s="60"/>
      <c r="E9" s="974"/>
      <c r="F9" s="975"/>
      <c r="G9" s="975"/>
      <c r="H9" s="973"/>
      <c r="I9" s="973">
        <f>'6. Live Work Lofts'!H18</f>
        <v>882193.8065020158</v>
      </c>
      <c r="J9" s="973">
        <f>'6. Live Work Lofts'!I18</f>
        <v>937419.1387890419</v>
      </c>
      <c r="K9" s="972">
        <f>'6. Live Work Lofts'!J18</f>
        <v>995429.5569231949</v>
      </c>
      <c r="L9" s="972">
        <f>'6. Live Work Lofts'!K18</f>
        <v>1056352.365881722</v>
      </c>
      <c r="M9" s="972">
        <f>'6. Live Work Lofts'!L18</f>
        <v>1088182.6660070994</v>
      </c>
      <c r="N9" s="972">
        <f>'6. Live Work Lofts'!M18</f>
        <v>1154209.5793949198</v>
      </c>
      <c r="O9" s="701"/>
      <c r="P9" s="701"/>
      <c r="Q9" s="701"/>
      <c r="R9" s="701"/>
      <c r="S9" s="701"/>
      <c r="T9" s="701"/>
      <c r="U9" s="7"/>
      <c r="V9" s="7"/>
      <c r="W9" s="7"/>
      <c r="X9" s="7"/>
      <c r="Y9" s="7"/>
      <c r="Z9" s="7"/>
      <c r="AA9" s="7"/>
      <c r="AB9" s="7"/>
      <c r="AC9" s="2"/>
      <c r="AD9" s="2"/>
    </row>
    <row r="10" spans="1:30" ht="11.25" customHeight="1" x14ac:dyDescent="0.15">
      <c r="A10" s="796" t="s">
        <v>41</v>
      </c>
      <c r="B10" s="666" t="s">
        <v>34</v>
      </c>
      <c r="C10" s="41">
        <f>SUM(D10:N10)</f>
        <v>1308811.3357735155</v>
      </c>
      <c r="D10" s="60"/>
      <c r="E10" s="974"/>
      <c r="F10" s="975"/>
      <c r="G10" s="975"/>
      <c r="H10" s="973"/>
      <c r="I10" s="973">
        <f>'5. Affordable Rental Apartments'!H17</f>
        <v>185414.93923458137</v>
      </c>
      <c r="J10" s="973">
        <f>'5. Affordable Rental Apartments'!I17</f>
        <v>197717.7657908524</v>
      </c>
      <c r="K10" s="972">
        <f>'5. Affordable Rental Apartments'!J17</f>
        <v>210591.88849518856</v>
      </c>
      <c r="L10" s="972">
        <f>'5. Affordable Rental Apartments'!K17</f>
        <v>224060.51257257315</v>
      </c>
      <c r="M10" s="972">
        <f>'5. Affordable Rental Apartments'!L17</f>
        <v>238147.72139495521</v>
      </c>
      <c r="N10" s="972">
        <f>'5. Affordable Rental Apartments'!M17</f>
        <v>252878.50828536481</v>
      </c>
      <c r="O10" s="701"/>
      <c r="P10" s="701"/>
      <c r="Q10" s="701"/>
      <c r="R10" s="701"/>
      <c r="S10" s="701"/>
      <c r="T10" s="701"/>
      <c r="U10" s="7"/>
      <c r="V10" s="7"/>
      <c r="W10" s="7"/>
      <c r="X10" s="7"/>
      <c r="Y10" s="7"/>
      <c r="Z10" s="7"/>
      <c r="AA10" s="7"/>
      <c r="AB10" s="7"/>
      <c r="AC10" s="2"/>
      <c r="AD10" s="2"/>
    </row>
    <row r="11" spans="1:30" ht="11.25" customHeight="1" x14ac:dyDescent="0.15">
      <c r="A11" s="798" t="s">
        <v>398</v>
      </c>
      <c r="B11" s="671"/>
      <c r="C11" s="41">
        <f>SUM(D11:N11)</f>
        <v>53221006.035513528</v>
      </c>
      <c r="D11" s="60"/>
      <c r="E11" s="974"/>
      <c r="F11" s="975"/>
      <c r="G11" s="975">
        <f>'8. Offices, Incubators &amp; Educat'!F19+'8. Offices, Incubators &amp; Educat'!F53+'8. Offices, Incubators &amp; Educat'!F87</f>
        <v>2186213.3146012505</v>
      </c>
      <c r="H11" s="973">
        <f>'8. Offices, Incubators &amp; Educat'!G19+'8. Offices, Incubators &amp; Educat'!G53+'8. Offices, Incubators &amp; Educat'!G87</f>
        <v>4466623.6842554845</v>
      </c>
      <c r="I11" s="973">
        <f>'8. Offices, Incubators &amp; Educat'!H19+'8. Offices, Incubators &amp; Educat'!H53+'8. Offices, Incubators &amp; Educat'!H87</f>
        <v>6253280.3862394951</v>
      </c>
      <c r="J11" s="973">
        <f>'8. Offices, Incubators &amp; Educat'!I19+'8. Offices, Incubators &amp; Educat'!I53+'8. Offices, Incubators &amp; Educat'!I87</f>
        <v>6595845.1457978664</v>
      </c>
      <c r="K11" s="972">
        <f>'8. Offices, Incubators &amp; Educat'!J19+'8. Offices, Incubators &amp; Educat'!J53+'8. Offices, Incubators &amp; Educat'!J87</f>
        <v>7265174.0667730821</v>
      </c>
      <c r="L11" s="972">
        <f>'8. Offices, Incubators &amp; Educat'!K19+'8. Offices, Incubators &amp; Educat'!K53+'8. Offices, Incubators &amp; Educat'!K87</f>
        <v>7995967.1490531005</v>
      </c>
      <c r="M11" s="972">
        <f>'8. Offices, Incubators &amp; Educat'!L19+'8. Offices, Incubators &amp; Educat'!L53+'8. Offices, Incubators &amp; Educat'!L87</f>
        <v>8793675.4043404721</v>
      </c>
      <c r="N11" s="972">
        <f>'8. Offices, Incubators &amp; Educat'!M19+'8. Offices, Incubators &amp; Educat'!M53+'8. Offices, Incubators &amp; Educat'!M87</f>
        <v>9664226.8844527677</v>
      </c>
      <c r="O11" s="701"/>
      <c r="P11" s="701"/>
      <c r="Q11" s="701"/>
      <c r="R11" s="701"/>
      <c r="S11" s="701"/>
      <c r="T11" s="701"/>
      <c r="U11" s="7"/>
      <c r="V11" s="7"/>
      <c r="W11" s="7"/>
      <c r="X11" s="7"/>
      <c r="Y11" s="7"/>
      <c r="Z11" s="7"/>
      <c r="AA11" s="7"/>
      <c r="AB11" s="7"/>
      <c r="AC11" s="2"/>
      <c r="AD11" s="2"/>
    </row>
    <row r="12" spans="1:30" ht="11.25" customHeight="1" x14ac:dyDescent="0.15">
      <c r="A12" s="799"/>
      <c r="B12" s="666" t="s">
        <v>60</v>
      </c>
      <c r="C12" s="41">
        <f>SUM(D12:N12)</f>
        <v>31816712.629111465</v>
      </c>
      <c r="D12" s="60">
        <f>'Project Data'!B10*'Project Data'!C71</f>
        <v>540867.6</v>
      </c>
      <c r="E12" s="974"/>
      <c r="F12" s="975">
        <f>'1. Light Industry and Workshops'!E19</f>
        <v>445746.87709200004</v>
      </c>
      <c r="G12" s="975">
        <f>'1. Light Industry and Workshops'!F19</f>
        <v>1793607.0668957701</v>
      </c>
      <c r="H12" s="973">
        <f>'1. Light Industry and Workshops'!G19</f>
        <v>2269195.9127649101</v>
      </c>
      <c r="I12" s="973">
        <f>'1. Light Industry and Workshops'!H19</f>
        <v>3470713.5684723156</v>
      </c>
      <c r="J12" s="973">
        <f>'1. Light Industry and Workshops'!I19</f>
        <v>3821132.0724243862</v>
      </c>
      <c r="K12" s="972">
        <f>'1. Light Industry and Workshops'!J19</f>
        <v>4203676.0751603469</v>
      </c>
      <c r="L12" s="972">
        <f>'1. Light Industry and Workshops'!K19</f>
        <v>4621192.8979745125</v>
      </c>
      <c r="M12" s="972">
        <f>'1. Light Industry and Workshops'!L19</f>
        <v>5076778.9824830964</v>
      </c>
      <c r="N12" s="972">
        <f>'1. Light Industry and Workshops'!M19</f>
        <v>5573801.5758441268</v>
      </c>
      <c r="O12" s="701"/>
      <c r="P12" s="701"/>
      <c r="Q12" s="701"/>
      <c r="R12" s="701"/>
      <c r="S12" s="701"/>
      <c r="T12" s="701"/>
      <c r="U12" s="7"/>
      <c r="V12" s="7"/>
      <c r="W12" s="7"/>
      <c r="X12" s="7"/>
      <c r="Y12" s="7"/>
      <c r="Z12" s="7"/>
      <c r="AA12" s="7"/>
      <c r="AB12" s="7"/>
      <c r="AC12" s="2"/>
      <c r="AD12" s="2"/>
    </row>
    <row r="13" spans="1:30" ht="11.25" customHeight="1" x14ac:dyDescent="0.15">
      <c r="A13" s="798" t="s">
        <v>62</v>
      </c>
      <c r="B13" s="671"/>
      <c r="C13" s="41">
        <f>SUM(D13:N13)</f>
        <v>24246914.536485281</v>
      </c>
      <c r="D13" s="60"/>
      <c r="E13" s="974"/>
      <c r="F13" s="975">
        <f>'9. Commercial - Retail'!E19</f>
        <v>0</v>
      </c>
      <c r="G13" s="975">
        <f>'9. Commercial - Retail'!F19</f>
        <v>20207.417086800095</v>
      </c>
      <c r="H13" s="973">
        <f>'9. Commercial - Retail'!G19</f>
        <v>945057.65673872642</v>
      </c>
      <c r="I13" s="973">
        <f>'9. Commercial - Retail'!H19</f>
        <v>76600.032111511449</v>
      </c>
      <c r="J13" s="973">
        <f>'9. Commercial - Retail'!I19</f>
        <v>3170594.0918068667</v>
      </c>
      <c r="K13" s="972">
        <f>'9. Commercial - Retail'!J19</f>
        <v>4496250.4416066511</v>
      </c>
      <c r="L13" s="972">
        <f>'9. Commercial - Retail'!K19</f>
        <v>4822521.2337062424</v>
      </c>
      <c r="M13" s="972">
        <f>'9. Commercial - Retail'!L19</f>
        <v>5171367.4823891129</v>
      </c>
      <c r="N13" s="972">
        <f>'9. Commercial - Retail'!M19</f>
        <v>5544316.1810393678</v>
      </c>
      <c r="O13" s="701"/>
      <c r="P13" s="701"/>
      <c r="Q13" s="701"/>
      <c r="R13" s="701"/>
      <c r="S13" s="701"/>
      <c r="T13" s="701"/>
      <c r="U13" s="7"/>
      <c r="V13" s="7"/>
      <c r="W13" s="7"/>
      <c r="X13" s="7"/>
      <c r="Y13" s="7"/>
      <c r="Z13" s="7"/>
      <c r="AA13" s="7"/>
      <c r="AB13" s="7"/>
      <c r="AC13" s="2"/>
      <c r="AD13" s="2"/>
    </row>
    <row r="14" spans="1:30" ht="11.25" customHeight="1" x14ac:dyDescent="0.15">
      <c r="A14" s="799"/>
      <c r="B14" s="666" t="s">
        <v>72</v>
      </c>
      <c r="C14" s="41">
        <f>SUM(D14:N14)</f>
        <v>8443726.4184204824</v>
      </c>
      <c r="D14" s="60"/>
      <c r="E14" s="974"/>
      <c r="F14" s="975"/>
      <c r="G14" s="975">
        <f>'10. Food Market'!F19</f>
        <v>776472.34221899975</v>
      </c>
      <c r="H14" s="973">
        <f>'10. Food Market'!G19</f>
        <v>844979.3877267791</v>
      </c>
      <c r="I14" s="973">
        <f>'10. Food Market'!H19</f>
        <v>918614.06024599448</v>
      </c>
      <c r="J14" s="973">
        <f>'10. Food Market'!I19</f>
        <v>997736.1353236991</v>
      </c>
      <c r="K14" s="972">
        <f>'10. Food Market'!J19</f>
        <v>1082729.8900342323</v>
      </c>
      <c r="L14" s="972">
        <f>'10. Food Market'!K19</f>
        <v>1174005.7471474304</v>
      </c>
      <c r="M14" s="972">
        <f>'10. Food Market'!L19</f>
        <v>1272002.0287986305</v>
      </c>
      <c r="N14" s="972">
        <f>'10. Food Market'!M19</f>
        <v>1377186.8269247159</v>
      </c>
      <c r="O14" s="701"/>
      <c r="P14" s="701"/>
      <c r="Q14" s="701"/>
      <c r="R14" s="701"/>
      <c r="S14" s="701"/>
      <c r="T14" s="701"/>
      <c r="U14" s="7"/>
      <c r="V14" s="7"/>
      <c r="W14" s="7"/>
      <c r="X14" s="7"/>
      <c r="Y14" s="7"/>
      <c r="Z14" s="7"/>
      <c r="AA14" s="7"/>
      <c r="AB14" s="7"/>
      <c r="AC14" s="2"/>
      <c r="AD14" s="2"/>
    </row>
    <row r="15" spans="1:30" ht="11.25" customHeight="1" x14ac:dyDescent="0.15">
      <c r="A15" s="798" t="s">
        <v>67</v>
      </c>
      <c r="B15" s="671"/>
      <c r="C15" s="41">
        <f>SUM(D15:N15)</f>
        <v>77521461.820466518</v>
      </c>
      <c r="D15" s="60"/>
      <c r="E15" s="974"/>
      <c r="F15" s="975">
        <f>'2. Hotel'!E23</f>
        <v>6035334.6578312498</v>
      </c>
      <c r="G15" s="975">
        <f>'2. Hotel'!F23</f>
        <v>6558853.364059859</v>
      </c>
      <c r="H15" s="973">
        <f>'2. Hotel'!G23</f>
        <v>7127785.6877791509</v>
      </c>
      <c r="I15" s="973">
        <f>'2. Hotel'!H23</f>
        <v>7746071.2032399355</v>
      </c>
      <c r="J15" s="973">
        <f>'2. Hotel'!I23</f>
        <v>8417991.2407616153</v>
      </c>
      <c r="K15" s="972">
        <f>'2. Hotel'!J23</f>
        <v>9148198.5340011865</v>
      </c>
      <c r="L15" s="972">
        <f>'2. Hotel'!K23</f>
        <v>9941749.4391203988</v>
      </c>
      <c r="M15" s="972">
        <f>'2. Hotel'!L23</f>
        <v>10804138.948963126</v>
      </c>
      <c r="N15" s="972">
        <f>'2. Hotel'!M23</f>
        <v>11741338.744709998</v>
      </c>
      <c r="O15" s="701"/>
      <c r="P15" s="701"/>
      <c r="Q15" s="701"/>
      <c r="R15" s="701"/>
      <c r="S15" s="701"/>
      <c r="T15" s="701"/>
      <c r="U15" s="7"/>
      <c r="V15" s="7"/>
      <c r="W15" s="7"/>
      <c r="X15" s="7"/>
      <c r="Y15" s="7"/>
      <c r="Z15" s="7"/>
      <c r="AA15" s="7"/>
      <c r="AB15" s="7"/>
      <c r="AC15" s="2"/>
      <c r="AD15" s="2"/>
    </row>
    <row r="16" spans="1:30" ht="11.25" customHeight="1" x14ac:dyDescent="0.15">
      <c r="A16" s="823" t="s">
        <v>91</v>
      </c>
      <c r="B16" s="673"/>
      <c r="C16" s="876">
        <f>SUM(D16:N16)</f>
        <v>33243320.384406082</v>
      </c>
      <c r="D16" s="883"/>
      <c r="E16" s="998"/>
      <c r="F16" s="999">
        <f>'11. Structured Parking'!E37</f>
        <v>1024883.9306999998</v>
      </c>
      <c r="G16" s="999">
        <f>'11. Structured Parking'!F37</f>
        <v>2228838.7991517894</v>
      </c>
      <c r="H16" s="1000">
        <f>'11. Structured Parking'!G37</f>
        <v>2457185.9876160813</v>
      </c>
      <c r="I16" s="1000">
        <f>'11. Structured Parking'!H37</f>
        <v>2700460.4385707979</v>
      </c>
      <c r="J16" s="1000">
        <f>'11. Structured Parking'!I37</f>
        <v>2959485.9001233424</v>
      </c>
      <c r="K16" s="1001">
        <f>'11. Structured Parking'!J37</f>
        <v>4832105.239873548</v>
      </c>
      <c r="L16" s="1001">
        <f>'11. Structured Parking'!K37</f>
        <v>5240804.9319247091</v>
      </c>
      <c r="M16" s="1001">
        <f>'11. Structured Parking'!L37</f>
        <v>5672194.2735006064</v>
      </c>
      <c r="N16" s="1001">
        <f>'11. Structured Parking'!M37</f>
        <v>6127360.8829452088</v>
      </c>
      <c r="O16" s="701"/>
      <c r="P16" s="701"/>
      <c r="Q16" s="701"/>
      <c r="R16" s="701"/>
      <c r="S16" s="701"/>
      <c r="T16" s="701"/>
      <c r="U16" s="7"/>
      <c r="V16" s="7"/>
      <c r="W16" s="7"/>
      <c r="X16" s="7"/>
      <c r="Y16" s="7"/>
      <c r="Z16" s="7"/>
      <c r="AA16" s="7"/>
      <c r="AB16" s="7"/>
      <c r="AC16" s="2"/>
      <c r="AD16" s="2"/>
    </row>
    <row r="17" spans="1:30" ht="11.25" customHeight="1" x14ac:dyDescent="0.15">
      <c r="A17" s="878" t="s">
        <v>102</v>
      </c>
      <c r="B17" s="879"/>
      <c r="C17" s="881">
        <f>SUM(D17:N17)</f>
        <v>284150022.19948345</v>
      </c>
      <c r="D17" s="880">
        <f>SUM(D6:D16)</f>
        <v>540867.6</v>
      </c>
      <c r="E17" s="880"/>
      <c r="F17" s="880">
        <f>SUM(F6:F16)</f>
        <v>7505965.4656232493</v>
      </c>
      <c r="G17" s="880">
        <f>SUM(G6:G16)</f>
        <v>13564192.30401447</v>
      </c>
      <c r="H17" s="880">
        <f>SUM(H6:H16)</f>
        <v>18110828.316881131</v>
      </c>
      <c r="I17" s="880">
        <f>SUM(I6:I16)</f>
        <v>22233348.434616648</v>
      </c>
      <c r="J17" s="880">
        <f>SUM(J6:J16)</f>
        <v>27097921.490817674</v>
      </c>
      <c r="K17" s="880">
        <f>SUM(K6:K16)</f>
        <v>32234155.692867428</v>
      </c>
      <c r="L17" s="880">
        <f>SUM(L6:L16)</f>
        <v>51063435.380265981</v>
      </c>
      <c r="M17" s="880">
        <f>SUM(M6:M16)</f>
        <v>57577963.352658696</v>
      </c>
      <c r="N17" s="882">
        <f>SUM(N6:N16)</f>
        <v>54221344.161738172</v>
      </c>
      <c r="O17" s="701"/>
      <c r="P17" s="701"/>
      <c r="Q17" s="701"/>
      <c r="R17" s="701"/>
      <c r="S17" s="701"/>
      <c r="T17" s="701"/>
      <c r="U17" s="7"/>
      <c r="V17" s="7"/>
      <c r="W17" s="7"/>
      <c r="X17" s="7"/>
      <c r="Y17" s="7"/>
      <c r="Z17" s="7"/>
      <c r="AA17" s="7"/>
      <c r="AB17" s="7"/>
      <c r="AC17" s="2"/>
      <c r="AD17" s="2"/>
    </row>
    <row r="18" spans="1:30" ht="11.25" customHeight="1" x14ac:dyDescent="0.15">
      <c r="A18" s="869" t="s">
        <v>106</v>
      </c>
      <c r="B18" s="870"/>
      <c r="C18" s="871"/>
      <c r="D18" s="871"/>
      <c r="E18" s="872"/>
      <c r="F18" s="873"/>
      <c r="G18" s="873"/>
      <c r="H18" s="873"/>
      <c r="I18" s="873"/>
      <c r="J18" s="873"/>
      <c r="K18" s="873"/>
      <c r="L18" s="873"/>
      <c r="M18" s="873"/>
      <c r="N18" s="874"/>
      <c r="O18" s="701"/>
      <c r="P18" s="701"/>
      <c r="Q18" s="701"/>
      <c r="R18" s="701"/>
      <c r="S18" s="701"/>
      <c r="T18" s="701"/>
      <c r="U18" s="115"/>
      <c r="V18" s="115"/>
      <c r="W18" s="115"/>
      <c r="X18" s="115"/>
      <c r="Y18" s="115"/>
      <c r="Z18" s="115"/>
      <c r="AA18" s="115"/>
      <c r="AB18" s="115"/>
      <c r="AC18" s="2"/>
      <c r="AD18" s="2"/>
    </row>
    <row r="19" spans="1:30" ht="11.25" customHeight="1" x14ac:dyDescent="0.15">
      <c r="A19" s="721"/>
      <c r="B19" s="92"/>
      <c r="C19" s="116"/>
      <c r="D19" s="116"/>
      <c r="E19" s="992"/>
      <c r="F19" s="993"/>
      <c r="G19" s="993"/>
      <c r="H19" s="994"/>
      <c r="I19" s="994"/>
      <c r="J19" s="994"/>
      <c r="K19" s="995"/>
      <c r="L19" s="995"/>
      <c r="M19" s="996"/>
      <c r="N19" s="997"/>
      <c r="O19" s="701"/>
      <c r="P19" s="701"/>
      <c r="Q19" s="701"/>
      <c r="R19" s="701"/>
      <c r="S19" s="701"/>
      <c r="T19" s="701"/>
      <c r="U19" s="7"/>
      <c r="V19" s="7"/>
      <c r="W19" s="7"/>
      <c r="X19" s="7"/>
      <c r="Y19" s="7"/>
      <c r="Z19" s="7"/>
      <c r="AA19" s="7"/>
      <c r="AB19" s="7"/>
      <c r="AC19" s="2"/>
      <c r="AD19" s="2"/>
    </row>
    <row r="20" spans="1:30" ht="11.25" customHeight="1" x14ac:dyDescent="0.15">
      <c r="A20" s="794" t="s">
        <v>33</v>
      </c>
      <c r="B20" s="666" t="s">
        <v>34</v>
      </c>
      <c r="C20" s="41">
        <f>SUM(D20:N20)</f>
        <v>-19211903.652884483</v>
      </c>
      <c r="D20" s="968"/>
      <c r="E20" s="970"/>
      <c r="F20" s="975">
        <f>'3. Upscale Rental Apartments'!E25</f>
        <v>0</v>
      </c>
      <c r="G20" s="975">
        <f>'3. Upscale Rental Apartments'!F25</f>
        <v>0</v>
      </c>
      <c r="H20" s="973">
        <f>'3. Upscale Rental Apartments'!G25</f>
        <v>0</v>
      </c>
      <c r="I20" s="973">
        <f>'3. Upscale Rental Apartments'!H25</f>
        <v>0</v>
      </c>
      <c r="J20" s="973">
        <f>'3. Upscale Rental Apartments'!I25</f>
        <v>0</v>
      </c>
      <c r="K20" s="972">
        <f>'3. Upscale Rental Apartments'!J25</f>
        <v>-15369522.922307588</v>
      </c>
      <c r="L20" s="972">
        <f>'3. Upscale Rental Apartments'!K25</f>
        <v>-3842380.730576897</v>
      </c>
      <c r="M20" s="972">
        <f>'3. Upscale Rental Apartments'!L25</f>
        <v>0</v>
      </c>
      <c r="N20" s="972">
        <f>'3. Upscale Rental Apartments'!M25</f>
        <v>0</v>
      </c>
      <c r="O20" s="780"/>
      <c r="P20" s="778"/>
      <c r="Q20" s="778"/>
      <c r="R20" s="778"/>
      <c r="S20" s="778"/>
      <c r="T20" s="778"/>
      <c r="U20" s="4"/>
      <c r="V20" s="4"/>
      <c r="W20" s="4"/>
      <c r="X20" s="4"/>
      <c r="Y20" s="4"/>
      <c r="Z20" s="4"/>
      <c r="AA20" s="4"/>
      <c r="AB20" s="4"/>
      <c r="AC20" s="2"/>
      <c r="AD20" s="2"/>
    </row>
    <row r="21" spans="1:30" ht="11.25" customHeight="1" x14ac:dyDescent="0.15">
      <c r="A21" s="795"/>
      <c r="B21" s="51" t="s">
        <v>38</v>
      </c>
      <c r="C21" s="41">
        <f>SUM(D21:N21)</f>
        <v>-24345461.132281065</v>
      </c>
      <c r="D21" s="969"/>
      <c r="E21" s="970"/>
      <c r="F21" s="975">
        <f>'4. Condominiums'!E26</f>
        <v>0</v>
      </c>
      <c r="G21" s="975">
        <f>'4. Condominiums'!F26</f>
        <v>0</v>
      </c>
      <c r="H21" s="973">
        <f>'4. Condominiums'!G26</f>
        <v>0</v>
      </c>
      <c r="I21" s="973">
        <f>'4. Condominiums'!H26</f>
        <v>0</v>
      </c>
      <c r="J21" s="973">
        <f>'4. Condominiums'!I26</f>
        <v>0</v>
      </c>
      <c r="K21" s="972">
        <f>'4. Condominiums'!J26</f>
        <v>-8200665.170556671</v>
      </c>
      <c r="L21" s="972">
        <f>'4. Condominiums'!K26</f>
        <v>-4850107.6865863744</v>
      </c>
      <c r="M21" s="972">
        <f>'4. Condominiums'!L26</f>
        <v>-11294688.275138019</v>
      </c>
      <c r="N21" s="972">
        <f>'4. Condominiums'!M26</f>
        <v>0</v>
      </c>
      <c r="O21" s="781"/>
      <c r="P21" s="778"/>
      <c r="Q21" s="778"/>
      <c r="R21" s="778"/>
      <c r="S21" s="778"/>
      <c r="T21" s="778"/>
      <c r="U21" s="4"/>
      <c r="V21" s="4"/>
      <c r="W21" s="4"/>
      <c r="X21" s="4"/>
      <c r="Y21" s="4"/>
      <c r="Z21" s="4"/>
      <c r="AA21" s="4"/>
      <c r="AB21" s="4"/>
      <c r="AC21" s="2"/>
      <c r="AD21" s="2"/>
    </row>
    <row r="22" spans="1:30" ht="11.25" customHeight="1" x14ac:dyDescent="0.15">
      <c r="A22" s="797" t="s">
        <v>45</v>
      </c>
      <c r="B22" s="666" t="s">
        <v>34</v>
      </c>
      <c r="C22" s="41">
        <f>SUM(D22:N22)</f>
        <v>-7936729.9706873782</v>
      </c>
      <c r="D22" s="60"/>
      <c r="E22" s="974"/>
      <c r="F22" s="975"/>
      <c r="G22" s="975">
        <f>'7. Market Rental Apartments'!F25</f>
        <v>0</v>
      </c>
      <c r="H22" s="973">
        <f>'7. Market Rental Apartments'!G25</f>
        <v>0</v>
      </c>
      <c r="I22" s="973">
        <f>'7. Market Rental Apartments'!H25</f>
        <v>0</v>
      </c>
      <c r="J22" s="973">
        <f>'7. Market Rental Apartments'!I25</f>
        <v>0</v>
      </c>
      <c r="K22" s="972">
        <f>'7. Market Rental Apartments'!J25</f>
        <v>-7936729.9706873782</v>
      </c>
      <c r="L22" s="972">
        <f>'7. Market Rental Apartments'!K25</f>
        <v>0</v>
      </c>
      <c r="M22" s="972">
        <f>'7. Market Rental Apartments'!L25</f>
        <v>0</v>
      </c>
      <c r="N22" s="972">
        <f>'7. Market Rental Apartments'!M25</f>
        <v>0</v>
      </c>
      <c r="O22" s="701"/>
      <c r="P22" s="701"/>
      <c r="Q22" s="701"/>
      <c r="R22" s="701"/>
      <c r="S22" s="701"/>
      <c r="T22" s="701"/>
      <c r="U22" s="7"/>
      <c r="V22" s="7"/>
      <c r="W22" s="7"/>
      <c r="X22" s="7"/>
      <c r="Y22" s="7"/>
      <c r="Z22" s="7"/>
      <c r="AA22" s="7"/>
      <c r="AB22" s="7"/>
      <c r="AC22" s="2"/>
      <c r="AD22" s="2"/>
    </row>
    <row r="23" spans="1:30" ht="11.25" customHeight="1" x14ac:dyDescent="0.15">
      <c r="A23" s="797" t="s">
        <v>51</v>
      </c>
      <c r="B23" s="666" t="s">
        <v>34</v>
      </c>
      <c r="C23" s="41">
        <f>SUM(D23:N23)</f>
        <v>-6685185.6133523984</v>
      </c>
      <c r="D23" s="60"/>
      <c r="E23" s="974"/>
      <c r="F23" s="975"/>
      <c r="G23" s="975"/>
      <c r="H23" s="973">
        <f>'6. Live Work Lofts'!G24</f>
        <v>-6685185.6133523984</v>
      </c>
      <c r="I23" s="973">
        <f>'6. Live Work Lofts'!H24</f>
        <v>0</v>
      </c>
      <c r="J23" s="973">
        <f>'6. Live Work Lofts'!I24</f>
        <v>0</v>
      </c>
      <c r="K23" s="972">
        <f>'6. Live Work Lofts'!J24</f>
        <v>0</v>
      </c>
      <c r="L23" s="972">
        <f>'6. Live Work Lofts'!K24</f>
        <v>0</v>
      </c>
      <c r="M23" s="972">
        <f>'6. Live Work Lofts'!L24</f>
        <v>0</v>
      </c>
      <c r="N23" s="972"/>
      <c r="O23" s="701"/>
      <c r="P23" s="701"/>
      <c r="Q23" s="701"/>
      <c r="R23" s="701"/>
      <c r="S23" s="701"/>
      <c r="T23" s="701"/>
      <c r="U23" s="7"/>
      <c r="V23" s="7"/>
      <c r="W23" s="7"/>
      <c r="X23" s="7"/>
      <c r="Y23" s="7"/>
      <c r="Z23" s="7"/>
      <c r="AA23" s="7"/>
      <c r="AB23" s="7"/>
      <c r="AC23" s="2"/>
      <c r="AD23" s="2"/>
    </row>
    <row r="24" spans="1:30" ht="11.25" customHeight="1" x14ac:dyDescent="0.15">
      <c r="A24" s="797" t="s">
        <v>41</v>
      </c>
      <c r="B24" s="666" t="s">
        <v>34</v>
      </c>
      <c r="C24" s="41">
        <f>SUM(D24:N24)</f>
        <v>-3682487.113785184</v>
      </c>
      <c r="D24" s="60"/>
      <c r="E24" s="974"/>
      <c r="F24" s="975">
        <f>'5. Affordable Rental Apartments'!E23</f>
        <v>0</v>
      </c>
      <c r="G24" s="975">
        <f>'5. Affordable Rental Apartments'!F23</f>
        <v>0</v>
      </c>
      <c r="H24" s="973">
        <f>'5. Affordable Rental Apartments'!G23</f>
        <v>-1647191.5408872003</v>
      </c>
      <c r="I24" s="973">
        <f>'5. Affordable Rental Apartments'!H23</f>
        <v>0</v>
      </c>
      <c r="J24" s="973">
        <f>'5. Affordable Rental Apartments'!I23</f>
        <v>0</v>
      </c>
      <c r="K24" s="972">
        <f>'5. Affordable Rental Apartments'!J23</f>
        <v>-2035295.5728979837</v>
      </c>
      <c r="L24" s="972">
        <f>'5. Affordable Rental Apartments'!K23</f>
        <v>0</v>
      </c>
      <c r="M24" s="972">
        <f>'5. Affordable Rental Apartments'!L23</f>
        <v>0</v>
      </c>
      <c r="N24" s="972">
        <f>'5. Affordable Rental Apartments'!M23</f>
        <v>0</v>
      </c>
      <c r="O24" s="701"/>
      <c r="P24" s="701"/>
      <c r="Q24" s="701"/>
      <c r="R24" s="701"/>
      <c r="S24" s="701"/>
      <c r="T24" s="701"/>
      <c r="U24" s="7"/>
      <c r="V24" s="7"/>
      <c r="W24" s="7"/>
      <c r="X24" s="7"/>
      <c r="Y24" s="7"/>
      <c r="Z24" s="7"/>
      <c r="AA24" s="7"/>
      <c r="AB24" s="7"/>
      <c r="AC24" s="2"/>
      <c r="AD24" s="2"/>
    </row>
    <row r="25" spans="1:30" ht="11.25" customHeight="1" x14ac:dyDescent="0.15">
      <c r="A25" s="798" t="s">
        <v>398</v>
      </c>
      <c r="B25" s="671"/>
      <c r="C25" s="41">
        <f>SUM(D25:N25)</f>
        <v>-58711421.184</v>
      </c>
      <c r="D25" s="60"/>
      <c r="E25" s="974"/>
      <c r="F25" s="975">
        <f>'8. Offices, Incubators &amp; Educat'!E25+'8. Offices, Incubators &amp; Educat'!E59+'8. Offices, Incubators &amp; Educat'!E93</f>
        <v>-24692899.199999999</v>
      </c>
      <c r="G25" s="975">
        <f>'8. Offices, Incubators &amp; Educat'!F25+'8. Offices, Incubators &amp; Educat'!F59+'8. Offices, Incubators &amp; Educat'!F93</f>
        <v>-23961224.16</v>
      </c>
      <c r="H25" s="973">
        <f>'8. Offices, Incubators &amp; Educat'!G25+'8. Offices, Incubators &amp; Educat'!G59+'8. Offices, Incubators &amp; Educat'!G93</f>
        <v>-10057297.824000001</v>
      </c>
      <c r="I25" s="973"/>
      <c r="J25" s="973"/>
      <c r="K25" s="972"/>
      <c r="L25" s="972"/>
      <c r="M25" s="972"/>
      <c r="N25" s="972"/>
      <c r="O25" s="701"/>
      <c r="P25" s="701"/>
      <c r="Q25" s="701"/>
      <c r="R25" s="701"/>
      <c r="S25" s="701"/>
      <c r="T25" s="701"/>
      <c r="U25" s="7"/>
      <c r="V25" s="7"/>
      <c r="W25" s="7"/>
      <c r="X25" s="7"/>
      <c r="Y25" s="7"/>
      <c r="Z25" s="7"/>
      <c r="AA25" s="7"/>
      <c r="AB25" s="7"/>
      <c r="AC25" s="2"/>
      <c r="AD25" s="2"/>
    </row>
    <row r="26" spans="1:30" ht="11.25" customHeight="1" x14ac:dyDescent="0.15">
      <c r="A26" s="799"/>
      <c r="B26" s="866" t="s">
        <v>135</v>
      </c>
      <c r="C26" s="41"/>
      <c r="D26" s="60"/>
      <c r="E26" s="974">
        <f>-10000</f>
        <v>-10000</v>
      </c>
      <c r="F26" s="975">
        <f>-40000</f>
        <v>-40000</v>
      </c>
      <c r="G26" s="975"/>
      <c r="H26" s="973">
        <f>-14000</f>
        <v>-14000</v>
      </c>
      <c r="I26" s="973"/>
      <c r="J26" s="973"/>
      <c r="K26" s="972"/>
      <c r="L26" s="972"/>
      <c r="M26" s="972"/>
      <c r="N26" s="972"/>
      <c r="O26" s="701"/>
      <c r="P26" s="701"/>
      <c r="Q26" s="701"/>
      <c r="R26" s="701"/>
      <c r="S26" s="701"/>
      <c r="T26" s="701"/>
      <c r="U26" s="7"/>
      <c r="V26" s="7"/>
      <c r="W26" s="7"/>
      <c r="X26" s="7"/>
      <c r="Y26" s="7"/>
      <c r="Z26" s="7"/>
      <c r="AA26" s="7"/>
      <c r="AB26" s="7"/>
      <c r="AC26" s="2"/>
      <c r="AD26" s="2"/>
    </row>
    <row r="27" spans="1:30" ht="11.25" customHeight="1" x14ac:dyDescent="0.15">
      <c r="A27" s="798" t="s">
        <v>60</v>
      </c>
      <c r="B27" s="671"/>
      <c r="C27" s="41">
        <f>SUM(D27:N27)</f>
        <v>-22648670.172000002</v>
      </c>
      <c r="D27" s="802"/>
      <c r="E27" s="974">
        <f>'1. Light Industry and Workshops'!D25</f>
        <v>-3616128</v>
      </c>
      <c r="F27" s="975">
        <f>'1. Light Industry and Workshops'!E25</f>
        <v>-8859513.5999999996</v>
      </c>
      <c r="G27" s="975">
        <f>'1. Light Industry and Workshops'!F25</f>
        <v>-3380529.5999999996</v>
      </c>
      <c r="H27" s="973">
        <f>'1. Light Industry and Workshops'!G25</f>
        <v>-6792498.9720000019</v>
      </c>
      <c r="I27" s="973">
        <f>'1. Light Industry and Workshops'!H25</f>
        <v>0</v>
      </c>
      <c r="J27" s="973">
        <f>'1. Light Industry and Workshops'!I25</f>
        <v>0</v>
      </c>
      <c r="K27" s="972">
        <f>'1. Light Industry and Workshops'!J25</f>
        <v>0</v>
      </c>
      <c r="L27" s="972">
        <f>'1. Light Industry and Workshops'!K25</f>
        <v>0</v>
      </c>
      <c r="M27" s="972">
        <f>'1. Light Industry and Workshops'!L25</f>
        <v>0</v>
      </c>
      <c r="N27" s="972">
        <f>'1. Light Industry and Workshops'!M25</f>
        <v>0</v>
      </c>
      <c r="O27" s="701"/>
      <c r="P27" s="701"/>
      <c r="Q27" s="701"/>
      <c r="R27" s="701"/>
      <c r="S27" s="701"/>
      <c r="T27" s="701"/>
      <c r="U27" s="7"/>
      <c r="V27" s="7"/>
      <c r="W27" s="7"/>
      <c r="X27" s="7"/>
      <c r="Y27" s="7"/>
      <c r="Z27" s="7"/>
      <c r="AA27" s="7"/>
      <c r="AB27" s="7"/>
      <c r="AC27" s="2"/>
      <c r="AD27" s="2"/>
    </row>
    <row r="28" spans="1:30" ht="11.25" customHeight="1" x14ac:dyDescent="0.15">
      <c r="A28" s="798" t="s">
        <v>62</v>
      </c>
      <c r="B28" s="671"/>
      <c r="C28" s="41">
        <f>SUM(D28:N28)</f>
        <v>-26087842.560000002</v>
      </c>
      <c r="D28" s="60"/>
      <c r="E28" s="974"/>
      <c r="F28" s="975">
        <f>'9. Commercial - Retail'!E25</f>
        <v>-5217568.5120000001</v>
      </c>
      <c r="G28" s="975">
        <f>'9. Commercial - Retail'!F25</f>
        <v>-5217568.5120000001</v>
      </c>
      <c r="H28" s="973">
        <f>'9. Commercial - Retail'!G25</f>
        <v>-5217568.5120000001</v>
      </c>
      <c r="I28" s="973">
        <f>'9. Commercial - Retail'!H25</f>
        <v>-5217568.5120000001</v>
      </c>
      <c r="J28" s="973">
        <f>'9. Commercial - Retail'!I25</f>
        <v>-5217568.5120000001</v>
      </c>
      <c r="K28" s="972">
        <f>'9. Commercial - Retail'!J25</f>
        <v>0</v>
      </c>
      <c r="L28" s="972"/>
      <c r="M28" s="972"/>
      <c r="N28" s="972"/>
      <c r="O28" s="701"/>
      <c r="P28" s="701"/>
      <c r="Q28" s="701"/>
      <c r="R28" s="701"/>
      <c r="S28" s="701"/>
      <c r="T28" s="701"/>
      <c r="U28" s="7"/>
      <c r="V28" s="7"/>
      <c r="W28" s="7"/>
      <c r="X28" s="7"/>
      <c r="Y28" s="7"/>
      <c r="Z28" s="7"/>
      <c r="AA28" s="7"/>
      <c r="AB28" s="7"/>
      <c r="AC28" s="2"/>
      <c r="AD28" s="2"/>
    </row>
    <row r="29" spans="1:30" ht="11.25" customHeight="1" x14ac:dyDescent="0.15">
      <c r="A29" s="799"/>
      <c r="B29" s="666" t="s">
        <v>72</v>
      </c>
      <c r="C29" s="41">
        <f>SUM(D29:N29)</f>
        <v>-5752740</v>
      </c>
      <c r="D29" s="60"/>
      <c r="E29" s="974"/>
      <c r="F29" s="975">
        <f>'10. Food Market'!E25</f>
        <v>-5752740</v>
      </c>
      <c r="G29" s="975"/>
      <c r="H29" s="973"/>
      <c r="I29" s="973"/>
      <c r="J29" s="973"/>
      <c r="K29" s="972"/>
      <c r="L29" s="972"/>
      <c r="M29" s="972"/>
      <c r="N29" s="972"/>
      <c r="O29" s="701"/>
      <c r="P29" s="701"/>
      <c r="Q29" s="701"/>
      <c r="R29" s="701"/>
      <c r="S29" s="701"/>
      <c r="T29" s="701"/>
      <c r="U29" s="7"/>
      <c r="V29" s="7"/>
      <c r="W29" s="7"/>
      <c r="X29" s="7"/>
      <c r="Y29" s="7"/>
      <c r="Z29" s="7"/>
      <c r="AA29" s="7"/>
      <c r="AB29" s="7"/>
      <c r="AC29" s="2"/>
      <c r="AD29" s="2"/>
    </row>
    <row r="30" spans="1:30" ht="11.25" customHeight="1" x14ac:dyDescent="0.15">
      <c r="A30" s="798" t="s">
        <v>67</v>
      </c>
      <c r="B30" s="671"/>
      <c r="C30" s="41">
        <f>SUM(D30:N30)</f>
        <v>-32473431.359999996</v>
      </c>
      <c r="D30" s="60"/>
      <c r="E30" s="974">
        <f>'2. Hotel'!D30</f>
        <v>-32473431.359999996</v>
      </c>
      <c r="F30" s="975">
        <f>'2. Hotel'!E30</f>
        <v>0</v>
      </c>
      <c r="G30" s="975">
        <f>'2. Hotel'!F30</f>
        <v>0</v>
      </c>
      <c r="H30" s="973">
        <f>'2. Hotel'!G30</f>
        <v>0</v>
      </c>
      <c r="I30" s="973"/>
      <c r="J30" s="973"/>
      <c r="K30" s="972"/>
      <c r="L30" s="972"/>
      <c r="M30" s="972"/>
      <c r="N30" s="972"/>
      <c r="O30" s="701"/>
      <c r="P30" s="701"/>
      <c r="Q30" s="701"/>
      <c r="R30" s="701"/>
      <c r="S30" s="701"/>
      <c r="T30" s="701"/>
      <c r="U30" s="7"/>
      <c r="V30" s="7"/>
      <c r="W30" s="7"/>
      <c r="X30" s="7"/>
      <c r="Y30" s="7"/>
      <c r="Z30" s="7"/>
      <c r="AA30" s="7"/>
      <c r="AB30" s="7"/>
      <c r="AC30" s="2"/>
      <c r="AD30" s="2"/>
    </row>
    <row r="31" spans="1:30" ht="11.25" customHeight="1" x14ac:dyDescent="0.15">
      <c r="A31" s="798" t="s">
        <v>91</v>
      </c>
      <c r="B31" s="671"/>
      <c r="C31" s="41">
        <f>SUM(D31:N31)</f>
        <v>-13091651.999999998</v>
      </c>
      <c r="D31" s="60"/>
      <c r="E31" s="974">
        <f>'11. Structured Parking'!D47</f>
        <v>-5425896</v>
      </c>
      <c r="F31" s="975">
        <f>'11. Structured Parking'!E47</f>
        <v>-162019.19999999995</v>
      </c>
      <c r="G31" s="975">
        <f>'11. Structured Parking'!F47</f>
        <v>-324038.39999999991</v>
      </c>
      <c r="H31" s="973">
        <f>'11. Structured Parking'!G47</f>
        <v>-486057.6</v>
      </c>
      <c r="I31" s="973">
        <f>'11. Structured Parking'!H47</f>
        <v>-3265810.7999999993</v>
      </c>
      <c r="J31" s="973">
        <f>'11. Structured Parking'!I47</f>
        <v>-3427829.9999999995</v>
      </c>
      <c r="K31" s="972">
        <f>'11. Structured Parking'!J47</f>
        <v>0</v>
      </c>
      <c r="L31" s="972">
        <f>'11. Structured Parking'!K47</f>
        <v>0</v>
      </c>
      <c r="M31" s="972">
        <f>'11. Structured Parking'!L47</f>
        <v>0</v>
      </c>
      <c r="N31" s="972">
        <f>'11. Structured Parking'!M47</f>
        <v>0</v>
      </c>
      <c r="O31" s="701"/>
      <c r="P31" s="701"/>
      <c r="Q31" s="701"/>
      <c r="R31" s="701"/>
      <c r="S31" s="701"/>
      <c r="T31" s="701"/>
      <c r="U31" s="7"/>
      <c r="V31" s="7"/>
      <c r="W31" s="7"/>
      <c r="X31" s="7"/>
      <c r="Y31" s="7"/>
      <c r="Z31" s="7"/>
      <c r="AA31" s="7"/>
      <c r="AB31" s="7"/>
      <c r="AC31" s="2"/>
      <c r="AD31" s="2"/>
    </row>
    <row r="32" spans="1:30" ht="11.25" customHeight="1" x14ac:dyDescent="0.15">
      <c r="A32" s="799"/>
      <c r="B32" s="666" t="s">
        <v>66</v>
      </c>
      <c r="C32" s="41">
        <f>SUM(D32:N32)</f>
        <v>-23257630</v>
      </c>
      <c r="D32" s="60"/>
      <c r="E32" s="974">
        <f>-'Project Data'!A170</f>
        <v>-2432300</v>
      </c>
      <c r="F32" s="975">
        <f>-'Project Data'!B170</f>
        <v>-5388300</v>
      </c>
      <c r="G32" s="975">
        <f>-'Project Data'!C170</f>
        <v>-5433600</v>
      </c>
      <c r="H32" s="973">
        <f>-'Project Data'!D170</f>
        <v>-8720500</v>
      </c>
      <c r="I32" s="973">
        <f>-'Project Data'!E170</f>
        <v>-589050</v>
      </c>
      <c r="J32" s="973"/>
      <c r="K32" s="972">
        <f>-'Project Data'!G170</f>
        <v>-693880</v>
      </c>
      <c r="L32" s="972"/>
      <c r="M32" s="972"/>
      <c r="N32" s="972"/>
      <c r="O32" s="701"/>
      <c r="P32" s="701"/>
      <c r="Q32" s="701"/>
      <c r="R32" s="701"/>
      <c r="S32" s="701"/>
      <c r="T32" s="701"/>
      <c r="U32" s="7"/>
      <c r="V32" s="7"/>
      <c r="W32" s="7"/>
      <c r="X32" s="7"/>
      <c r="Y32" s="7"/>
      <c r="Z32" s="7"/>
      <c r="AA32" s="7"/>
      <c r="AB32" s="7"/>
      <c r="AC32" s="2"/>
      <c r="AD32" s="2"/>
    </row>
    <row r="33" spans="1:30" ht="11.25" customHeight="1" x14ac:dyDescent="0.15">
      <c r="A33" s="799"/>
      <c r="B33" s="666" t="s">
        <v>152</v>
      </c>
      <c r="C33" s="41">
        <f>SUM(D33:N33)</f>
        <v>-234606150</v>
      </c>
      <c r="D33" s="60"/>
      <c r="E33" s="974">
        <f>-Financing!$L$6</f>
        <v>-234606150</v>
      </c>
      <c r="F33" s="975"/>
      <c r="G33" s="975"/>
      <c r="H33" s="973"/>
      <c r="I33" s="973"/>
      <c r="J33" s="973"/>
      <c r="K33" s="972"/>
      <c r="L33" s="972"/>
      <c r="M33" s="972"/>
      <c r="N33" s="972"/>
      <c r="O33" s="701"/>
      <c r="P33" s="701"/>
      <c r="Q33" s="701"/>
      <c r="R33" s="701"/>
      <c r="S33" s="701"/>
      <c r="T33" s="701"/>
      <c r="U33" s="7"/>
      <c r="V33" s="7"/>
      <c r="W33" s="7"/>
      <c r="X33" s="7"/>
      <c r="Y33" s="7"/>
      <c r="Z33" s="7"/>
      <c r="AA33" s="7"/>
      <c r="AB33" s="7"/>
      <c r="AC33" s="2"/>
      <c r="AD33" s="2"/>
    </row>
    <row r="34" spans="1:30" ht="11.25" customHeight="1" x14ac:dyDescent="0.15">
      <c r="A34" s="799"/>
      <c r="B34" s="666" t="s">
        <v>81</v>
      </c>
      <c r="C34" s="41">
        <f>SUM(D34:N34)</f>
        <v>-2710736</v>
      </c>
      <c r="D34" s="60"/>
      <c r="E34" s="974">
        <f>-('Project Data'!$B$9+'Project Data'!$B$10)*8+E35</f>
        <v>-2710736</v>
      </c>
      <c r="F34" s="975"/>
      <c r="G34" s="975"/>
      <c r="H34" s="973"/>
      <c r="I34" s="973"/>
      <c r="J34" s="973"/>
      <c r="K34" s="972"/>
      <c r="L34" s="972"/>
      <c r="M34" s="972"/>
      <c r="N34" s="972"/>
      <c r="O34" s="701"/>
      <c r="P34" s="701"/>
      <c r="Q34" s="701"/>
      <c r="R34" s="701"/>
      <c r="S34" s="701"/>
      <c r="T34" s="701"/>
      <c r="U34" s="7"/>
      <c r="V34" s="7"/>
      <c r="W34" s="7"/>
      <c r="X34" s="7"/>
      <c r="Y34" s="7"/>
      <c r="Z34" s="7"/>
      <c r="AA34" s="7"/>
      <c r="AB34" s="7"/>
      <c r="AC34" s="2"/>
      <c r="AD34" s="2"/>
    </row>
    <row r="35" spans="1:30" ht="11.25" customHeight="1" x14ac:dyDescent="0.15">
      <c r="A35" s="798" t="s">
        <v>154</v>
      </c>
      <c r="B35" s="671"/>
      <c r="C35" s="41">
        <f>SUM(D35:N35)</f>
        <v>-240000</v>
      </c>
      <c r="D35" s="60"/>
      <c r="E35" s="974">
        <f>-240000</f>
        <v>-240000</v>
      </c>
      <c r="F35" s="975"/>
      <c r="G35" s="975"/>
      <c r="H35" s="973"/>
      <c r="I35" s="973"/>
      <c r="J35" s="973"/>
      <c r="K35" s="972"/>
      <c r="L35" s="972"/>
      <c r="M35" s="972"/>
      <c r="N35" s="972"/>
      <c r="O35" s="701"/>
      <c r="P35" s="701"/>
      <c r="Q35" s="701"/>
      <c r="R35" s="701"/>
      <c r="S35" s="701"/>
      <c r="T35" s="701"/>
      <c r="U35" s="7"/>
      <c r="V35" s="7"/>
      <c r="W35" s="7"/>
      <c r="X35" s="7"/>
      <c r="Y35" s="7"/>
      <c r="Z35" s="7"/>
      <c r="AA35" s="7"/>
      <c r="AB35" s="7"/>
      <c r="AC35" s="2"/>
      <c r="AD35" s="2"/>
    </row>
    <row r="36" spans="1:30" ht="11.25" customHeight="1" x14ac:dyDescent="0.15">
      <c r="A36" s="803" t="s">
        <v>156</v>
      </c>
      <c r="B36" s="672"/>
      <c r="C36" s="41">
        <f>SUM(D36:N36)</f>
        <v>-234606150</v>
      </c>
      <c r="D36" s="804"/>
      <c r="E36" s="974">
        <f>E33</f>
        <v>-234606150</v>
      </c>
      <c r="F36" s="975">
        <f>F33</f>
        <v>0</v>
      </c>
      <c r="G36" s="975">
        <f>G33</f>
        <v>0</v>
      </c>
      <c r="H36" s="973">
        <f>H33</f>
        <v>0</v>
      </c>
      <c r="I36" s="973">
        <f>I33</f>
        <v>0</v>
      </c>
      <c r="J36" s="973">
        <f>J33</f>
        <v>0</v>
      </c>
      <c r="K36" s="972">
        <f>K33</f>
        <v>0</v>
      </c>
      <c r="L36" s="972">
        <f>L33</f>
        <v>0</v>
      </c>
      <c r="M36" s="972">
        <f>M33</f>
        <v>0</v>
      </c>
      <c r="N36" s="972">
        <f>N33</f>
        <v>0</v>
      </c>
      <c r="O36" s="701"/>
      <c r="P36" s="701"/>
      <c r="Q36" s="701"/>
      <c r="R36" s="701"/>
      <c r="S36" s="701"/>
      <c r="T36" s="701"/>
      <c r="U36" s="7"/>
      <c r="V36" s="7"/>
      <c r="W36" s="7"/>
      <c r="X36" s="7"/>
      <c r="Y36" s="7"/>
      <c r="Z36" s="7"/>
      <c r="AA36" s="7"/>
      <c r="AB36" s="7"/>
      <c r="AC36" s="2"/>
      <c r="AD36" s="2"/>
    </row>
    <row r="37" spans="1:30" ht="11.25" customHeight="1" x14ac:dyDescent="0.15">
      <c r="A37" s="803" t="s">
        <v>161</v>
      </c>
      <c r="B37" s="672"/>
      <c r="C37" s="41">
        <f>(SUM(C20:C31))*0.8+C34+C35</f>
        <v>-179452755.80719241</v>
      </c>
      <c r="D37" s="41"/>
      <c r="E37" s="974">
        <f>SUM(E20:E31)*0.8</f>
        <v>-33220364.288000003</v>
      </c>
      <c r="F37" s="975">
        <f>SUM(F20:F31)*0.8</f>
        <v>-35779792.409600005</v>
      </c>
      <c r="G37" s="975">
        <f>SUM(G20:G31)*0.8</f>
        <v>-26306688.537599999</v>
      </c>
      <c r="H37" s="973">
        <f>SUM(H20:H31)*0.8</f>
        <v>-24719840.049791683</v>
      </c>
      <c r="I37" s="973">
        <f>SUM(I20:I31)*0.8</f>
        <v>-6786703.4495999999</v>
      </c>
      <c r="J37" s="973">
        <f>SUM(J20:J31)*0.8</f>
        <v>-6916318.8096000003</v>
      </c>
      <c r="K37" s="972">
        <f>SUM(K20:K31)*0.8</f>
        <v>-26833770.909159698</v>
      </c>
      <c r="L37" s="972">
        <f>SUM(L20:L31)*0.8</f>
        <v>-6953990.7337306179</v>
      </c>
      <c r="M37" s="972">
        <f>SUM(M20:M31)*0.8</f>
        <v>-9035750.6201104149</v>
      </c>
      <c r="N37" s="972"/>
      <c r="O37" s="781"/>
      <c r="P37" s="701"/>
      <c r="Q37" s="701"/>
      <c r="R37" s="701"/>
      <c r="S37" s="701"/>
      <c r="T37" s="701"/>
      <c r="U37" s="7"/>
      <c r="V37" s="7"/>
      <c r="W37" s="7"/>
      <c r="X37" s="7"/>
      <c r="Y37" s="7"/>
      <c r="Z37" s="7"/>
      <c r="AA37" s="7"/>
      <c r="AB37" s="7"/>
      <c r="AC37" s="2"/>
      <c r="AD37" s="2"/>
    </row>
    <row r="38" spans="1:30" ht="11.25" customHeight="1" x14ac:dyDescent="0.15">
      <c r="A38" s="875" t="s">
        <v>166</v>
      </c>
      <c r="B38" s="673"/>
      <c r="C38" s="876">
        <f>(SUM(C20:C31))*0.2</f>
        <v>-44125504.951798104</v>
      </c>
      <c r="D38" s="806"/>
      <c r="E38" s="998">
        <f>SUM(E20:E31)*0.2</f>
        <v>-8305091.0720000006</v>
      </c>
      <c r="F38" s="999">
        <f>SUM(F20:F31)*0.2</f>
        <v>-8944948.1024000011</v>
      </c>
      <c r="G38" s="999">
        <f>SUM(G20:G31)*0.2</f>
        <v>-6576672.1343999999</v>
      </c>
      <c r="H38" s="1000">
        <f>SUM(H20:H31)*0.2</f>
        <v>-6179960.0124479206</v>
      </c>
      <c r="I38" s="1000">
        <f>SUM(I20:I31)*0.2</f>
        <v>-1696675.8624</v>
      </c>
      <c r="J38" s="1000">
        <f>SUM(J20:J31)*0.2</f>
        <v>-1729079.7024000001</v>
      </c>
      <c r="K38" s="1001">
        <f>SUM(K20:K31)*0.2</f>
        <v>-6708442.7272899244</v>
      </c>
      <c r="L38" s="1001">
        <f>SUM(L20:L31)*0.2</f>
        <v>-1738497.6834326545</v>
      </c>
      <c r="M38" s="1001">
        <f>SUM(M20:M31)*0.2</f>
        <v>-2258937.6550276037</v>
      </c>
      <c r="N38" s="1001"/>
      <c r="O38" s="701"/>
      <c r="P38" s="701"/>
      <c r="Q38" s="701"/>
      <c r="R38" s="701"/>
      <c r="S38" s="701"/>
      <c r="T38" s="701"/>
      <c r="U38" s="7"/>
      <c r="V38" s="7"/>
      <c r="W38" s="7"/>
      <c r="X38" s="7"/>
      <c r="Y38" s="7"/>
      <c r="Z38" s="7"/>
      <c r="AA38" s="7"/>
      <c r="AB38" s="7"/>
      <c r="AC38" s="2"/>
      <c r="AD38" s="2"/>
    </row>
    <row r="39" spans="1:30" ht="11.25" customHeight="1" x14ac:dyDescent="0.15">
      <c r="A39" s="878" t="s">
        <v>170</v>
      </c>
      <c r="B39" s="879"/>
      <c r="C39" s="880">
        <f>SUM(D39:N39)</f>
        <v>-481506040.75899053</v>
      </c>
      <c r="D39" s="881"/>
      <c r="E39" s="880">
        <f>SUM(E20:E35)</f>
        <v>-281514641.36000001</v>
      </c>
      <c r="F39" s="880">
        <f>SUM(F20:F35)</f>
        <v>-50113040.512000002</v>
      </c>
      <c r="G39" s="880">
        <f>SUM(G20:G35)</f>
        <v>-38316960.671999998</v>
      </c>
      <c r="H39" s="880">
        <f>SUM(H20:H35)</f>
        <v>-39620300.062239602</v>
      </c>
      <c r="I39" s="880">
        <f>SUM(I20:I35)</f>
        <v>-9072429.311999999</v>
      </c>
      <c r="J39" s="880">
        <f>SUM(J20:J35)</f>
        <v>-8645398.5120000001</v>
      </c>
      <c r="K39" s="880">
        <f>SUM(K20:K35)</f>
        <v>-34236093.63644962</v>
      </c>
      <c r="L39" s="880">
        <f>SUM(L20:L35)</f>
        <v>-8692488.4171632715</v>
      </c>
      <c r="M39" s="880">
        <f>SUM(M20:M35)</f>
        <v>-11294688.275138019</v>
      </c>
      <c r="N39" s="882">
        <f>SUM(N20:N35)</f>
        <v>0</v>
      </c>
      <c r="O39" s="782"/>
      <c r="P39" s="701"/>
      <c r="Q39" s="701"/>
      <c r="R39" s="701"/>
      <c r="S39" s="701"/>
      <c r="T39" s="701"/>
      <c r="U39" s="7"/>
      <c r="V39" s="7"/>
      <c r="W39" s="7"/>
      <c r="X39" s="7"/>
      <c r="Y39" s="7"/>
      <c r="Z39" s="7"/>
      <c r="AA39" s="7"/>
      <c r="AB39" s="7"/>
      <c r="AC39" s="2"/>
      <c r="AD39" s="2"/>
    </row>
    <row r="40" spans="1:30" ht="11.25" customHeight="1" x14ac:dyDescent="0.15">
      <c r="A40" s="869" t="s">
        <v>174</v>
      </c>
      <c r="B40" s="870"/>
      <c r="C40" s="871"/>
      <c r="D40" s="871"/>
      <c r="E40" s="872"/>
      <c r="F40" s="873"/>
      <c r="G40" s="873"/>
      <c r="H40" s="873"/>
      <c r="I40" s="873"/>
      <c r="J40" s="873"/>
      <c r="K40" s="873"/>
      <c r="L40" s="873"/>
      <c r="M40" s="873"/>
      <c r="N40" s="874"/>
      <c r="O40" s="701"/>
      <c r="P40" s="701"/>
      <c r="Q40" s="701"/>
      <c r="R40" s="701"/>
      <c r="S40" s="701"/>
      <c r="T40" s="701"/>
      <c r="U40" s="7"/>
      <c r="V40" s="7"/>
      <c r="W40" s="7"/>
      <c r="X40" s="7"/>
      <c r="Y40" s="7"/>
      <c r="Z40" s="7"/>
      <c r="AA40" s="7"/>
      <c r="AB40" s="7"/>
      <c r="AC40" s="2"/>
      <c r="AD40" s="2"/>
    </row>
    <row r="41" spans="1:30" ht="11.25" customHeight="1" x14ac:dyDescent="0.15">
      <c r="A41" s="835" t="s">
        <v>177</v>
      </c>
      <c r="B41" s="674"/>
      <c r="C41" s="178">
        <f>SUM(D41:N41)</f>
        <v>284150022.19948345</v>
      </c>
      <c r="D41" s="867">
        <f>D17</f>
        <v>540867.6</v>
      </c>
      <c r="E41" s="992">
        <f>E17</f>
        <v>0</v>
      </c>
      <c r="F41" s="993">
        <f>F17</f>
        <v>7505965.4656232493</v>
      </c>
      <c r="G41" s="993">
        <f>G17</f>
        <v>13564192.30401447</v>
      </c>
      <c r="H41" s="994">
        <f>H17</f>
        <v>18110828.316881131</v>
      </c>
      <c r="I41" s="994">
        <f>I17</f>
        <v>22233348.434616648</v>
      </c>
      <c r="J41" s="994">
        <f>J17</f>
        <v>27097921.490817674</v>
      </c>
      <c r="K41" s="995">
        <f>K17</f>
        <v>32234155.692867428</v>
      </c>
      <c r="L41" s="995">
        <f>L17</f>
        <v>51063435.380265981</v>
      </c>
      <c r="M41" s="995">
        <f>M17</f>
        <v>57577963.352658696</v>
      </c>
      <c r="N41" s="995">
        <f>N17</f>
        <v>54221344.161738172</v>
      </c>
      <c r="O41" s="701"/>
      <c r="P41" s="701"/>
      <c r="Q41" s="701"/>
      <c r="R41" s="701"/>
      <c r="S41" s="701"/>
      <c r="T41" s="701"/>
      <c r="U41" s="7"/>
      <c r="V41" s="7"/>
      <c r="W41" s="7"/>
      <c r="X41" s="7"/>
      <c r="Y41" s="7"/>
      <c r="Z41" s="7"/>
      <c r="AA41" s="7"/>
      <c r="AB41" s="7"/>
      <c r="AC41" s="2"/>
      <c r="AD41" s="2"/>
    </row>
    <row r="42" spans="1:30" ht="11.25" customHeight="1" x14ac:dyDescent="0.15">
      <c r="A42" s="798" t="s">
        <v>187</v>
      </c>
      <c r="B42" s="671"/>
      <c r="C42" s="41">
        <f>N42</f>
        <v>942674525.56520259</v>
      </c>
      <c r="D42" s="60">
        <f>Financing!L7+Financing!L8</f>
        <v>108500000</v>
      </c>
      <c r="E42" s="974">
        <f>D42</f>
        <v>108500000</v>
      </c>
      <c r="F42" s="975">
        <f>F41/0.075+E42</f>
        <v>208579539.54164332</v>
      </c>
      <c r="G42" s="975">
        <f>G41/0.075+E42</f>
        <v>289355897.38685966</v>
      </c>
      <c r="H42" s="973">
        <f>H41/0.075+E42</f>
        <v>349977710.89174843</v>
      </c>
      <c r="I42" s="973">
        <f>I41/0.075+E42</f>
        <v>404944645.79488868</v>
      </c>
      <c r="J42" s="973">
        <f>J41/0.075+E42</f>
        <v>469805619.87756902</v>
      </c>
      <c r="K42" s="972">
        <f>K41/0.075+E42</f>
        <v>538288742.57156575</v>
      </c>
      <c r="L42" s="972">
        <f>L41/0.075+E42</f>
        <v>789345805.07021308</v>
      </c>
      <c r="M42" s="972">
        <f>M41/0.075+E42</f>
        <v>876206178.03544927</v>
      </c>
      <c r="N42" s="972">
        <f>N41/0.065+E42</f>
        <v>942674525.56520259</v>
      </c>
      <c r="O42" s="701"/>
      <c r="P42" s="701"/>
      <c r="Q42" s="780"/>
      <c r="R42" s="701"/>
      <c r="S42" s="701"/>
      <c r="T42" s="701"/>
      <c r="U42" s="7"/>
      <c r="V42" s="7"/>
      <c r="W42" s="7"/>
      <c r="X42" s="7"/>
      <c r="Y42" s="7"/>
      <c r="Z42" s="7"/>
      <c r="AA42" s="7"/>
      <c r="AB42" s="7"/>
      <c r="AC42" s="2"/>
      <c r="AD42" s="2"/>
    </row>
    <row r="43" spans="1:30" ht="11.25" customHeight="1" x14ac:dyDescent="0.15">
      <c r="A43" s="798" t="s">
        <v>197</v>
      </c>
      <c r="B43" s="671"/>
      <c r="C43" s="41">
        <f>SUM(D43:N43)</f>
        <v>-28280235.766956076</v>
      </c>
      <c r="D43" s="60"/>
      <c r="E43" s="974"/>
      <c r="F43" s="975"/>
      <c r="G43" s="975"/>
      <c r="H43" s="973"/>
      <c r="I43" s="973"/>
      <c r="J43" s="973"/>
      <c r="K43" s="972"/>
      <c r="L43" s="972"/>
      <c r="M43" s="972"/>
      <c r="N43" s="972">
        <f>-N42*0.03</f>
        <v>-28280235.766956076</v>
      </c>
      <c r="O43" s="701"/>
      <c r="P43" s="701"/>
      <c r="Q43" s="701"/>
      <c r="R43" s="701"/>
      <c r="S43" s="701"/>
      <c r="T43" s="701"/>
      <c r="U43" s="7"/>
      <c r="V43" s="7"/>
      <c r="W43" s="7"/>
      <c r="X43" s="7"/>
      <c r="Y43" s="7"/>
      <c r="Z43" s="7"/>
      <c r="AA43" s="7"/>
      <c r="AB43" s="7"/>
      <c r="AC43" s="2"/>
      <c r="AD43" s="2"/>
    </row>
    <row r="44" spans="1:30" ht="11.25" customHeight="1" x14ac:dyDescent="0.15">
      <c r="A44" s="798" t="s">
        <v>170</v>
      </c>
      <c r="B44" s="671"/>
      <c r="C44" s="41">
        <f>SUM(D44:N44)</f>
        <v>-481506040.75899053</v>
      </c>
      <c r="D44" s="60"/>
      <c r="E44" s="974">
        <f>E39</f>
        <v>-281514641.36000001</v>
      </c>
      <c r="F44" s="975">
        <f>F39</f>
        <v>-50113040.512000002</v>
      </c>
      <c r="G44" s="975">
        <f>G39</f>
        <v>-38316960.671999998</v>
      </c>
      <c r="H44" s="973">
        <f>H39</f>
        <v>-39620300.062239602</v>
      </c>
      <c r="I44" s="973">
        <f>I39</f>
        <v>-9072429.311999999</v>
      </c>
      <c r="J44" s="973">
        <f>J39</f>
        <v>-8645398.5120000001</v>
      </c>
      <c r="K44" s="972">
        <f>K39</f>
        <v>-34236093.63644962</v>
      </c>
      <c r="L44" s="972">
        <f>L39</f>
        <v>-8692488.4171632715</v>
      </c>
      <c r="M44" s="972">
        <f>M39</f>
        <v>-11294688.275138019</v>
      </c>
      <c r="N44" s="972">
        <f>N39</f>
        <v>0</v>
      </c>
      <c r="O44" s="701"/>
      <c r="P44" s="701"/>
      <c r="Q44" s="701"/>
      <c r="R44" s="701"/>
      <c r="S44" s="701"/>
      <c r="T44" s="701"/>
      <c r="U44" s="7"/>
      <c r="V44" s="7"/>
      <c r="W44" s="7"/>
      <c r="X44" s="7"/>
      <c r="Y44" s="7"/>
      <c r="Z44" s="7"/>
      <c r="AA44" s="7"/>
      <c r="AB44" s="7"/>
      <c r="AC44" s="2"/>
      <c r="AD44" s="2"/>
    </row>
    <row r="45" spans="1:30" ht="11.25" customHeight="1" x14ac:dyDescent="0.15">
      <c r="A45" s="807" t="s">
        <v>200</v>
      </c>
      <c r="B45" s="170"/>
      <c r="C45" s="171">
        <f>SUM(D45:N45)</f>
        <v>717038271.23873949</v>
      </c>
      <c r="D45" s="60">
        <f>D41+D43+D44</f>
        <v>540867.6</v>
      </c>
      <c r="E45" s="974">
        <f>E41+E43+E44</f>
        <v>-281514641.36000001</v>
      </c>
      <c r="F45" s="975">
        <f>F41+F43+F44</f>
        <v>-42607075.04637675</v>
      </c>
      <c r="G45" s="975">
        <f>G41+G43+G44</f>
        <v>-24752768.367985528</v>
      </c>
      <c r="H45" s="973">
        <f>H41+H43+H44</f>
        <v>-21509471.745358471</v>
      </c>
      <c r="I45" s="973">
        <f>I41+I43+I44</f>
        <v>13160919.122616649</v>
      </c>
      <c r="J45" s="973">
        <f>J41+J43+J44</f>
        <v>18452522.978817672</v>
      </c>
      <c r="K45" s="972">
        <f>K41+K43+K44</f>
        <v>-2001937.9435821921</v>
      </c>
      <c r="L45" s="972">
        <f>L41+L43+L44</f>
        <v>42370946.963102713</v>
      </c>
      <c r="M45" s="972">
        <f>M41+M43+M44</f>
        <v>46283275.077520676</v>
      </c>
      <c r="N45" s="972">
        <f>N41+N43+N44+N42</f>
        <v>968615633.95998466</v>
      </c>
      <c r="O45" s="701"/>
      <c r="P45" s="701"/>
      <c r="Q45" s="701"/>
      <c r="R45" s="701"/>
      <c r="S45" s="701"/>
      <c r="T45" s="701"/>
      <c r="U45" s="7"/>
      <c r="V45" s="7"/>
      <c r="W45" s="7"/>
      <c r="X45" s="7"/>
      <c r="Y45" s="7"/>
      <c r="Z45" s="7"/>
      <c r="AA45" s="7"/>
      <c r="AB45" s="7"/>
      <c r="AC45" s="2"/>
      <c r="AD45" s="2"/>
    </row>
    <row r="46" spans="1:30" ht="11.25" customHeight="1" x14ac:dyDescent="0.15">
      <c r="A46" s="798" t="s">
        <v>185</v>
      </c>
      <c r="B46" s="671"/>
      <c r="C46" s="178">
        <f>SUM(D46:N46)</f>
        <v>84647413.748516396</v>
      </c>
      <c r="D46" s="60"/>
      <c r="E46" s="974">
        <f>K91</f>
        <v>84647413.748516396</v>
      </c>
      <c r="F46" s="975"/>
      <c r="G46" s="975"/>
      <c r="H46" s="973"/>
      <c r="I46" s="973"/>
      <c r="J46" s="973"/>
      <c r="K46" s="972"/>
      <c r="L46" s="972"/>
      <c r="M46" s="972"/>
      <c r="N46" s="972"/>
      <c r="O46" s="701"/>
      <c r="P46" s="701"/>
      <c r="Q46" s="701"/>
      <c r="R46" s="701"/>
      <c r="S46" s="701"/>
      <c r="T46" s="701"/>
      <c r="U46" s="7"/>
      <c r="V46" s="7"/>
      <c r="W46" s="7"/>
      <c r="X46" s="7"/>
      <c r="Y46" s="7"/>
      <c r="Z46" s="7"/>
      <c r="AA46" s="7"/>
      <c r="AB46" s="7"/>
      <c r="AC46" s="2"/>
      <c r="AD46" s="2"/>
    </row>
    <row r="47" spans="1:30" ht="11.25" customHeight="1" x14ac:dyDescent="0.15">
      <c r="A47" s="798" t="s">
        <v>207</v>
      </c>
      <c r="B47" s="671"/>
      <c r="C47" s="41">
        <f>SUM(D47:N47)</f>
        <v>164224305</v>
      </c>
      <c r="D47" s="60"/>
      <c r="E47" s="974">
        <f>Financing!B4</f>
        <v>164224305</v>
      </c>
      <c r="F47" s="975"/>
      <c r="G47" s="975"/>
      <c r="H47" s="973"/>
      <c r="I47" s="973"/>
      <c r="J47" s="973"/>
      <c r="K47" s="972"/>
      <c r="L47" s="972"/>
      <c r="M47" s="972"/>
      <c r="N47" s="972"/>
      <c r="O47" s="701"/>
      <c r="P47" s="701"/>
      <c r="Q47" s="701"/>
      <c r="R47" s="701"/>
      <c r="S47" s="701"/>
      <c r="T47" s="701"/>
      <c r="U47" s="7"/>
      <c r="V47" s="7"/>
      <c r="W47" s="7"/>
      <c r="X47" s="7"/>
      <c r="Y47" s="7"/>
      <c r="Z47" s="7"/>
      <c r="AA47" s="7"/>
      <c r="AB47" s="7"/>
      <c r="AC47" s="2"/>
      <c r="AD47" s="2"/>
    </row>
    <row r="48" spans="1:30" ht="11.25" customHeight="1" x14ac:dyDescent="0.15">
      <c r="A48" s="798" t="s">
        <v>208</v>
      </c>
      <c r="B48" s="671"/>
      <c r="C48" s="41">
        <f>SUM(D48:N48)</f>
        <v>138751681.40470695</v>
      </c>
      <c r="D48" s="60"/>
      <c r="E48" s="974">
        <f>Financing!B9</f>
        <v>22702221.216000002</v>
      </c>
      <c r="F48" s="975">
        <f>Financing!B16</f>
        <v>46564860.7104</v>
      </c>
      <c r="G48" s="975"/>
      <c r="H48" s="973">
        <f>Financing!B22</f>
        <v>28817146.731743764</v>
      </c>
      <c r="I48" s="973"/>
      <c r="J48" s="973"/>
      <c r="K48" s="972">
        <f>Financing!B28</f>
        <v>40667452.746563181</v>
      </c>
      <c r="L48" s="972"/>
      <c r="M48" s="972"/>
      <c r="N48" s="972"/>
      <c r="O48" s="701"/>
      <c r="P48" s="701"/>
      <c r="Q48" s="701"/>
      <c r="R48" s="701"/>
      <c r="S48" s="701"/>
      <c r="T48" s="701"/>
      <c r="U48" s="7"/>
      <c r="V48" s="7"/>
      <c r="W48" s="7"/>
      <c r="X48" s="7"/>
      <c r="Y48" s="7"/>
      <c r="Z48" s="7"/>
      <c r="AA48" s="7"/>
      <c r="AB48" s="7"/>
      <c r="AC48" s="2"/>
      <c r="AD48" s="2"/>
    </row>
    <row r="49" spans="1:30" ht="11.25" customHeight="1" x14ac:dyDescent="0.15">
      <c r="A49" s="798" t="s">
        <v>209</v>
      </c>
      <c r="B49" s="671"/>
      <c r="C49" s="41">
        <f>SUM(D49:N49)</f>
        <v>-322366270.11617547</v>
      </c>
      <c r="D49" s="60"/>
      <c r="E49" s="974"/>
      <c r="F49" s="975">
        <f>-(Financing!C4+Financing!C9)</f>
        <v>-21048245.862752099</v>
      </c>
      <c r="G49" s="975">
        <f>-(Financing!C4+Financing!C9)</f>
        <v>-21048245.862752099</v>
      </c>
      <c r="H49" s="973">
        <f>-(Financing!C4+Financing!D9+Financing!C16)</f>
        <v>-24661013.532857627</v>
      </c>
      <c r="I49" s="973">
        <f>-(Financing!C4+Financing!D9+Financing!C16+Financing!C22+Financing!C34)</f>
        <v>-36723179.019267052</v>
      </c>
      <c r="J49" s="973">
        <f>-(Financing!C4+Financing!D9+Financing!D16+Financing!C22+Financing!C34)</f>
        <v>-41506858.569708578</v>
      </c>
      <c r="K49" s="972">
        <f>-(Financing!C4+Financing!D9+Financing!D16+Financing!C22+Financing!C34)</f>
        <v>-41506858.569708578</v>
      </c>
      <c r="L49" s="972">
        <f>-(Financing!C4+Financing!D9+Financing!D16+Financing!D22+Financing!C28+Financing!C34)</f>
        <v>-45290622.899709798</v>
      </c>
      <c r="M49" s="972">
        <f>-(Financing!C4+Financing!D9+Financing!D16+Financing!D22+Financing!C28+Financing!C34)</f>
        <v>-45290622.899709798</v>
      </c>
      <c r="N49" s="972">
        <f t="array" ref="N49">-(Financing!C4+Financing!D9+Financing!D16+Financing!D22+Financing!C28+Financing!C34+NPV(0.07,AB121:AD121)+NPV(0.07,AB115:AD115)+NPV(0.07,AB109:AD109)+NPV(0.07,AB103:AD103)+NPV(0.07,AB96:AD96)+NPV(0.07,AB91:AD91))</f>
        <v>-45290622.899709798</v>
      </c>
      <c r="O49" s="701"/>
      <c r="P49" s="701"/>
      <c r="Q49" s="701"/>
      <c r="R49" s="701"/>
      <c r="S49" s="701"/>
      <c r="T49" s="701"/>
      <c r="U49" s="7"/>
      <c r="V49" s="7"/>
      <c r="W49" s="7"/>
      <c r="X49" s="7"/>
      <c r="Y49" s="7"/>
      <c r="Z49" s="7"/>
      <c r="AA49" s="7"/>
      <c r="AB49" s="7"/>
      <c r="AC49" s="2"/>
      <c r="AD49" s="2"/>
    </row>
    <row r="50" spans="1:30" ht="11.25" customHeight="1" x14ac:dyDescent="0.15">
      <c r="A50" s="823" t="s">
        <v>211</v>
      </c>
      <c r="B50" s="673"/>
      <c r="C50" s="876">
        <f>SUM(D50:N50)</f>
        <v>61315584.62270391</v>
      </c>
      <c r="D50" s="883"/>
      <c r="E50" s="974">
        <f>-E32</f>
        <v>2432300</v>
      </c>
      <c r="F50" s="975">
        <f>-F32+K101/7</f>
        <v>10936617.875953175</v>
      </c>
      <c r="G50" s="975">
        <f>-G32+K101/7-Financing!F50</f>
        <v>11206759.521284278</v>
      </c>
      <c r="H50" s="973">
        <f>-H32+K101/7</f>
        <v>14268817.875953175</v>
      </c>
      <c r="I50" s="973">
        <f>K101/7</f>
        <v>5548317.8759531761</v>
      </c>
      <c r="J50" s="973">
        <f>K101/7-Financing!I50</f>
        <v>5826135.7216537511</v>
      </c>
      <c r="K50" s="972">
        <f>K101/7</f>
        <v>5548317.8759531761</v>
      </c>
      <c r="L50" s="972">
        <f>K101/7</f>
        <v>5548317.8759531761</v>
      </c>
      <c r="M50" s="972"/>
      <c r="N50" s="972"/>
      <c r="O50" s="701"/>
      <c r="P50" s="701"/>
      <c r="Q50" s="701"/>
      <c r="R50" s="701"/>
      <c r="S50" s="701"/>
      <c r="T50" s="701"/>
      <c r="U50" s="7"/>
      <c r="V50" s="7"/>
      <c r="W50" s="7"/>
      <c r="X50" s="7"/>
      <c r="Y50" s="7"/>
      <c r="Z50" s="7"/>
      <c r="AA50" s="7"/>
      <c r="AB50" s="7"/>
      <c r="AC50" s="2"/>
      <c r="AD50" s="2"/>
    </row>
    <row r="51" spans="1:30" ht="11.25" customHeight="1" x14ac:dyDescent="0.15">
      <c r="A51" s="893" t="s">
        <v>215</v>
      </c>
      <c r="B51" s="884"/>
      <c r="C51" s="885">
        <f>C45+C47+C48-C49+C50</f>
        <v>1403696112.3823256</v>
      </c>
      <c r="D51" s="886">
        <f>SUM(D45:D50)</f>
        <v>540867.6</v>
      </c>
      <c r="E51" s="976">
        <f>SUM(E45:E50)</f>
        <v>-7508401.3954836316</v>
      </c>
      <c r="F51" s="977">
        <f>SUM(F45:F50)</f>
        <v>-6153842.3227756731</v>
      </c>
      <c r="G51" s="978">
        <f>SUM(G45:G50)</f>
        <v>-34594254.709453344</v>
      </c>
      <c r="H51" s="979">
        <f>SUM(H45:H50)</f>
        <v>-3084520.6705191582</v>
      </c>
      <c r="I51" s="979">
        <f>SUM(I45:I50)</f>
        <v>-18013942.020697229</v>
      </c>
      <c r="J51" s="979">
        <f>SUM(J45:J50)</f>
        <v>-17228199.869237155</v>
      </c>
      <c r="K51" s="980">
        <f>SUM(K45:K50)</f>
        <v>2706974.109225587</v>
      </c>
      <c r="L51" s="980">
        <f>SUM(L45:L50)</f>
        <v>2628641.9393460909</v>
      </c>
      <c r="M51" s="980">
        <f>SUM(M45:M50)</f>
        <v>992652.17781087756</v>
      </c>
      <c r="N51" s="981">
        <f>SUM(N45:N50)</f>
        <v>923325011.06027484</v>
      </c>
      <c r="O51" s="701"/>
      <c r="P51" s="701"/>
      <c r="Q51" s="701"/>
      <c r="R51" s="701"/>
      <c r="S51" s="701"/>
      <c r="T51" s="701"/>
      <c r="U51" s="7"/>
      <c r="V51" s="7"/>
      <c r="W51" s="7"/>
      <c r="X51" s="7"/>
      <c r="Y51" s="7"/>
      <c r="Z51" s="7"/>
      <c r="AA51" s="7"/>
      <c r="AB51" s="7"/>
      <c r="AC51" s="2"/>
      <c r="AD51" s="2"/>
    </row>
    <row r="52" spans="1:30" ht="11.25" customHeight="1" x14ac:dyDescent="0.15">
      <c r="A52" s="893" t="s">
        <v>218</v>
      </c>
      <c r="B52" s="884"/>
      <c r="C52" s="885">
        <f t="array" ref="C52">NPV(0.09,D51:N51)</f>
        <v>303553851.9921307</v>
      </c>
      <c r="D52" s="963"/>
      <c r="E52" s="222"/>
      <c r="F52" s="868"/>
      <c r="G52" s="117"/>
      <c r="H52" s="151"/>
      <c r="I52" s="118"/>
      <c r="J52" s="118"/>
      <c r="K52" s="152"/>
      <c r="L52" s="152"/>
      <c r="M52" s="152"/>
      <c r="N52" s="805"/>
      <c r="O52" s="701"/>
      <c r="P52" s="701"/>
      <c r="Q52" s="701"/>
      <c r="R52" s="701"/>
      <c r="S52" s="701"/>
      <c r="T52" s="701"/>
      <c r="U52" s="7"/>
      <c r="V52" s="7"/>
      <c r="W52" s="7"/>
      <c r="X52" s="7"/>
      <c r="Y52" s="7"/>
      <c r="Z52" s="7"/>
      <c r="AA52" s="7"/>
      <c r="AB52" s="7"/>
      <c r="AC52" s="2"/>
      <c r="AD52" s="2"/>
    </row>
    <row r="53" spans="1:30" ht="11.25" customHeight="1" thickBot="1" x14ac:dyDescent="0.2">
      <c r="A53" s="887" t="s">
        <v>221</v>
      </c>
      <c r="B53" s="790"/>
      <c r="C53" s="888"/>
      <c r="D53" s="964"/>
      <c r="E53" s="965">
        <f>(SUM(E47:E48)/(Financing!L8+Financing!L7+Financing!L6))</f>
        <v>0.54480669092057954</v>
      </c>
      <c r="F53" s="62"/>
      <c r="G53" s="864">
        <f>(E48+F48+E47-Financing!C9*2-Financing!C4*2-Financing!C16)/G42</f>
        <v>0.65702604732877767</v>
      </c>
      <c r="H53" s="967"/>
      <c r="I53" s="865"/>
      <c r="J53" s="865">
        <f>(H48+F48+E48+E47-J49-I49-H49-G49-F49)/J42</f>
        <v>0.86694594375355127</v>
      </c>
      <c r="K53" s="990"/>
      <c r="L53" s="990"/>
      <c r="M53" s="990"/>
      <c r="N53" s="990">
        <f>(E47+E48+F48+H48+K48-M49-L49-K49-J49-H49-G49-F49)/N42</f>
        <v>0.57636908590071456</v>
      </c>
      <c r="O53" s="701"/>
      <c r="P53" s="701"/>
      <c r="Q53" s="701"/>
      <c r="R53" s="701"/>
      <c r="S53" s="701"/>
      <c r="T53" s="701"/>
      <c r="U53" s="7"/>
      <c r="V53" s="7"/>
      <c r="W53" s="7"/>
      <c r="X53" s="7"/>
      <c r="Y53" s="7"/>
      <c r="Z53" s="7"/>
      <c r="AA53" s="7"/>
      <c r="AB53" s="7"/>
      <c r="AC53" s="2"/>
      <c r="AD53" s="2"/>
    </row>
    <row r="54" spans="1:30" ht="11.25" customHeight="1" thickTop="1" x14ac:dyDescent="0.15">
      <c r="A54" s="894" t="s">
        <v>224</v>
      </c>
      <c r="B54" s="889"/>
      <c r="C54" s="961">
        <f>IRR(E45:N45,0.15)</f>
        <v>0.13805005332031794</v>
      </c>
      <c r="D54" s="964"/>
      <c r="E54" s="966"/>
      <c r="F54" s="62"/>
      <c r="G54" s="982" t="s">
        <v>226</v>
      </c>
      <c r="H54" s="983"/>
      <c r="I54" s="984"/>
      <c r="J54" s="988">
        <f>Financing!L7+Financing!L8</f>
        <v>108500000</v>
      </c>
      <c r="K54" s="991"/>
      <c r="L54" s="991"/>
      <c r="M54" s="991"/>
      <c r="N54" s="991"/>
      <c r="O54" s="701"/>
      <c r="P54" s="701"/>
      <c r="Q54" s="710"/>
      <c r="R54" s="710"/>
      <c r="S54" s="710"/>
      <c r="T54" s="710"/>
      <c r="U54" s="2"/>
      <c r="V54" s="7"/>
      <c r="W54" s="7"/>
      <c r="X54" s="7"/>
      <c r="Y54" s="7"/>
      <c r="Z54" s="7"/>
      <c r="AA54" s="7"/>
      <c r="AB54" s="7"/>
      <c r="AC54" s="2"/>
      <c r="AD54" s="2"/>
    </row>
    <row r="55" spans="1:30" ht="11.25" customHeight="1" thickBot="1" x14ac:dyDescent="0.2">
      <c r="A55" s="895" t="s">
        <v>229</v>
      </c>
      <c r="B55" s="890"/>
      <c r="C55" s="962">
        <f>IRR(E51:N51,0.5)</f>
        <v>0.43297547654046964</v>
      </c>
      <c r="D55" s="964"/>
      <c r="E55" s="966"/>
      <c r="F55" s="62"/>
      <c r="G55" s="985" t="s">
        <v>230</v>
      </c>
      <c r="H55" s="986"/>
      <c r="I55" s="987"/>
      <c r="J55" s="989">
        <f>N42</f>
        <v>942674525.56520259</v>
      </c>
      <c r="K55" s="991"/>
      <c r="L55" s="991"/>
      <c r="M55" s="991"/>
      <c r="N55" s="991"/>
      <c r="O55" s="701"/>
      <c r="P55" s="701"/>
      <c r="Q55" s="710"/>
      <c r="R55" s="710"/>
      <c r="S55" s="710"/>
      <c r="T55" s="710"/>
      <c r="U55" s="7"/>
      <c r="V55" s="7"/>
      <c r="W55" s="7"/>
      <c r="X55" s="7"/>
      <c r="Y55" s="7"/>
      <c r="Z55" s="7"/>
      <c r="AA55" s="7"/>
      <c r="AB55" s="7"/>
      <c r="AC55" s="2"/>
      <c r="AD55" s="2"/>
    </row>
    <row r="56" spans="1:30" ht="11.25" customHeight="1" thickTop="1" thickBot="1" x14ac:dyDescent="0.2">
      <c r="A56" s="742"/>
      <c r="B56" s="743"/>
      <c r="C56" s="758"/>
      <c r="D56" s="758"/>
      <c r="E56" s="222"/>
      <c r="F56" s="877"/>
      <c r="G56" s="224"/>
      <c r="H56" s="227"/>
      <c r="I56" s="227"/>
      <c r="J56" s="227"/>
      <c r="K56" s="1014"/>
      <c r="L56" s="1014"/>
      <c r="M56" s="1014"/>
      <c r="N56" s="1015"/>
      <c r="O56" s="783"/>
      <c r="P56" s="701"/>
      <c r="Q56" s="710"/>
      <c r="R56" s="710"/>
      <c r="S56" s="710"/>
      <c r="T56" s="710"/>
      <c r="U56" s="7"/>
      <c r="V56" s="7"/>
      <c r="W56" s="7"/>
      <c r="X56" s="7"/>
      <c r="Y56" s="7"/>
      <c r="Z56" s="7"/>
      <c r="AA56" s="7"/>
      <c r="AB56" s="7"/>
      <c r="AC56" s="2"/>
      <c r="AD56" s="2"/>
    </row>
    <row r="57" spans="1:30" ht="11.25" customHeight="1" x14ac:dyDescent="0.15">
      <c r="A57" s="818" t="s">
        <v>236</v>
      </c>
      <c r="B57" s="819"/>
      <c r="C57" s="819"/>
      <c r="D57" s="819"/>
      <c r="E57" s="819"/>
      <c r="F57" s="819"/>
      <c r="G57" s="819"/>
      <c r="H57" s="819"/>
      <c r="I57" s="819"/>
      <c r="J57" s="819"/>
      <c r="K57" s="819"/>
      <c r="L57" s="819"/>
      <c r="M57" s="819"/>
      <c r="N57" s="820"/>
      <c r="O57" s="784"/>
      <c r="P57" s="779"/>
      <c r="Q57" s="710"/>
      <c r="R57" s="710"/>
      <c r="S57" s="710"/>
      <c r="T57" s="710"/>
      <c r="U57" s="5"/>
      <c r="V57" s="5"/>
      <c r="W57" s="5"/>
      <c r="X57" s="5"/>
      <c r="Y57" s="5"/>
      <c r="Z57" s="5"/>
      <c r="AA57" s="5"/>
      <c r="AB57" s="5"/>
      <c r="AC57" s="2"/>
      <c r="AD57" s="2"/>
    </row>
    <row r="58" spans="1:30" ht="11.25" customHeight="1" x14ac:dyDescent="0.15">
      <c r="A58" s="742"/>
      <c r="B58" s="743"/>
      <c r="C58" s="758"/>
      <c r="D58" s="758"/>
      <c r="E58" s="255" t="s">
        <v>239</v>
      </c>
      <c r="F58" s="22"/>
      <c r="G58" s="22"/>
      <c r="H58" s="22"/>
      <c r="I58" s="22"/>
      <c r="J58" s="22"/>
      <c r="K58" s="22"/>
      <c r="L58" s="22"/>
      <c r="M58" s="22"/>
      <c r="N58" s="809"/>
      <c r="O58" s="701"/>
      <c r="P58" s="701"/>
      <c r="Q58" s="710"/>
      <c r="R58" s="710"/>
      <c r="S58" s="710"/>
      <c r="T58" s="710"/>
      <c r="U58" s="7"/>
      <c r="V58" s="7"/>
      <c r="W58" s="7"/>
      <c r="X58" s="7"/>
      <c r="Y58" s="7"/>
      <c r="Z58" s="7"/>
      <c r="AA58" s="7"/>
      <c r="AB58" s="7"/>
      <c r="AC58" s="2"/>
      <c r="AD58" s="2"/>
    </row>
    <row r="59" spans="1:30" ht="11.25" customHeight="1" x14ac:dyDescent="0.15">
      <c r="A59" s="793"/>
      <c r="B59" s="25"/>
      <c r="C59" s="170"/>
      <c r="D59" s="170" t="s">
        <v>240</v>
      </c>
      <c r="E59" s="257">
        <v>2019</v>
      </c>
      <c r="F59" s="27">
        <f>E59+1</f>
        <v>2020</v>
      </c>
      <c r="G59" s="27">
        <f>F59+1</f>
        <v>2021</v>
      </c>
      <c r="H59" s="27">
        <f>G59+1</f>
        <v>2022</v>
      </c>
      <c r="I59" s="27">
        <f>H59+1</f>
        <v>2023</v>
      </c>
      <c r="J59" s="27">
        <f>I59+1</f>
        <v>2024</v>
      </c>
      <c r="K59" s="27">
        <f>J59+1</f>
        <v>2025</v>
      </c>
      <c r="L59" s="27">
        <f>K59+1</f>
        <v>2026</v>
      </c>
      <c r="M59" s="261">
        <f>L59+1</f>
        <v>2027</v>
      </c>
      <c r="N59" s="810">
        <f>M59+1</f>
        <v>2028</v>
      </c>
      <c r="O59" s="710"/>
      <c r="P59" s="702"/>
      <c r="Q59" s="710"/>
      <c r="R59" s="710"/>
      <c r="S59" s="710"/>
      <c r="T59" s="710"/>
      <c r="U59" s="16"/>
      <c r="V59" s="16"/>
      <c r="W59" s="16"/>
      <c r="X59" s="16"/>
      <c r="Y59" s="16"/>
      <c r="Z59" s="16"/>
      <c r="AA59" s="16"/>
      <c r="AB59" s="16"/>
      <c r="AC59" s="2"/>
      <c r="AD59" s="2"/>
    </row>
    <row r="60" spans="1:30" ht="11.25" customHeight="1" x14ac:dyDescent="0.15">
      <c r="A60" s="800" t="s">
        <v>400</v>
      </c>
      <c r="B60" s="111"/>
      <c r="C60" s="112"/>
      <c r="D60" s="112"/>
      <c r="E60" s="113"/>
      <c r="F60" s="114"/>
      <c r="G60" s="114"/>
      <c r="H60" s="114"/>
      <c r="I60" s="114"/>
      <c r="J60" s="114"/>
      <c r="K60" s="114"/>
      <c r="L60" s="114"/>
      <c r="M60" s="114"/>
      <c r="N60" s="801"/>
      <c r="O60" s="701"/>
      <c r="P60" s="701"/>
      <c r="Q60" s="710"/>
      <c r="R60" s="710"/>
      <c r="S60" s="710"/>
      <c r="T60" s="710"/>
      <c r="U60" s="7"/>
      <c r="V60" s="7"/>
      <c r="W60" s="7"/>
      <c r="X60" s="7"/>
      <c r="Y60" s="7"/>
      <c r="Z60" s="7"/>
      <c r="AA60" s="7"/>
      <c r="AB60" s="7"/>
      <c r="AC60" s="2"/>
      <c r="AD60" s="2"/>
    </row>
    <row r="61" spans="1:30" ht="11.25" customHeight="1" x14ac:dyDescent="0.15">
      <c r="A61" s="797" t="s">
        <v>33</v>
      </c>
      <c r="B61" s="666" t="s">
        <v>34</v>
      </c>
      <c r="C61" s="266">
        <f>N61</f>
        <v>114.24631578947368</v>
      </c>
      <c r="D61" s="267" t="s">
        <v>243</v>
      </c>
      <c r="E61" s="974">
        <f>E73/'Project Data'!$B$19</f>
        <v>0</v>
      </c>
      <c r="F61" s="62">
        <f>F73/'Project Data'!$B$19</f>
        <v>0</v>
      </c>
      <c r="G61" s="62">
        <f>G73/'Project Data'!$B$19</f>
        <v>0</v>
      </c>
      <c r="H61" s="973">
        <f>H73/'Project Data'!$B$19</f>
        <v>0</v>
      </c>
      <c r="I61" s="973">
        <f>I73/'Project Data'!$B$19</f>
        <v>0</v>
      </c>
      <c r="J61" s="973">
        <f>J73/'Project Data'!$B$19</f>
        <v>0</v>
      </c>
      <c r="K61" s="972">
        <f>K73/'Project Data'!$B$19</f>
        <v>91.397052631578958</v>
      </c>
      <c r="L61" s="891">
        <f>L73/'Project Data'!$B$19</f>
        <v>114.24631578947368</v>
      </c>
      <c r="M61" s="972">
        <f>M73/'Project Data'!$B$19</f>
        <v>114.24631578947368</v>
      </c>
      <c r="N61" s="1016">
        <f>N73/'Project Data'!$B$19</f>
        <v>114.24631578947368</v>
      </c>
      <c r="O61" s="701"/>
      <c r="P61" s="701"/>
      <c r="Q61" s="710"/>
      <c r="R61" s="710"/>
      <c r="S61" s="710"/>
      <c r="T61" s="710"/>
      <c r="U61" s="7"/>
      <c r="V61" s="7"/>
      <c r="W61" s="7"/>
      <c r="X61" s="7"/>
      <c r="Y61" s="7"/>
      <c r="Z61" s="7"/>
      <c r="AA61" s="7"/>
      <c r="AB61" s="7"/>
      <c r="AC61" s="2"/>
      <c r="AD61" s="2"/>
    </row>
    <row r="62" spans="1:30" ht="11.25" customHeight="1" x14ac:dyDescent="0.15">
      <c r="A62" s="797"/>
      <c r="B62" s="51" t="s">
        <v>38</v>
      </c>
      <c r="C62" s="266">
        <f>N62</f>
        <v>143.74588235294118</v>
      </c>
      <c r="D62" s="267" t="s">
        <v>243</v>
      </c>
      <c r="E62" s="974">
        <f>E74/'Project Data'!$F$19</f>
        <v>0</v>
      </c>
      <c r="F62" s="62">
        <f>F74/'Project Data'!$F$19</f>
        <v>0</v>
      </c>
      <c r="G62" s="62">
        <f>G74/'Project Data'!$F$19</f>
        <v>0</v>
      </c>
      <c r="H62" s="973">
        <f>H74/'Project Data'!$F$19</f>
        <v>0</v>
      </c>
      <c r="I62" s="973">
        <f>I74/'Project Data'!$F$19</f>
        <v>0</v>
      </c>
      <c r="J62" s="973">
        <f>J74/'Project Data'!$F$19</f>
        <v>0</v>
      </c>
      <c r="K62" s="972">
        <f>K74/'Project Data'!$F$19</f>
        <v>50.311058823529407</v>
      </c>
      <c r="L62" s="972">
        <f>L74/'Project Data'!$F$19</f>
        <v>79.06023529411766</v>
      </c>
      <c r="M62" s="891">
        <f>M74/'Project Data'!$F$19</f>
        <v>143.74588235294118</v>
      </c>
      <c r="N62" s="1016">
        <f>N74/'Project Data'!$F$19</f>
        <v>143.74588235294118</v>
      </c>
      <c r="O62" s="701"/>
      <c r="P62" s="701"/>
      <c r="Q62" s="710"/>
      <c r="R62" s="710"/>
      <c r="S62" s="710"/>
      <c r="T62" s="710"/>
      <c r="U62" s="7"/>
      <c r="V62" s="7"/>
      <c r="W62" s="7"/>
      <c r="X62" s="7"/>
      <c r="Y62" s="7"/>
      <c r="Z62" s="7"/>
      <c r="AA62" s="7"/>
      <c r="AB62" s="7"/>
      <c r="AC62" s="2"/>
      <c r="AD62" s="2"/>
    </row>
    <row r="63" spans="1:30" ht="11.25" customHeight="1" x14ac:dyDescent="0.15">
      <c r="A63" s="797" t="s">
        <v>45</v>
      </c>
      <c r="B63" s="666" t="s">
        <v>34</v>
      </c>
      <c r="C63" s="266">
        <f>N63</f>
        <v>59.241411764705887</v>
      </c>
      <c r="D63" s="267" t="s">
        <v>243</v>
      </c>
      <c r="E63" s="974">
        <f>E75/'Project Data'!$C$19</f>
        <v>0</v>
      </c>
      <c r="F63" s="62">
        <f>F75/'Project Data'!$C$19</f>
        <v>0</v>
      </c>
      <c r="G63" s="62">
        <f>G75/'Project Data'!$C$19</f>
        <v>0</v>
      </c>
      <c r="H63" s="973">
        <f>H75/'Project Data'!$C$19</f>
        <v>0</v>
      </c>
      <c r="I63" s="973">
        <f>I75/'Project Data'!$C$19</f>
        <v>0</v>
      </c>
      <c r="J63" s="973">
        <f>J75/'Project Data'!$C$19</f>
        <v>0</v>
      </c>
      <c r="K63" s="891">
        <f>K75/'Project Data'!$C$19</f>
        <v>59.241411764705887</v>
      </c>
      <c r="L63" s="972">
        <f>L75/'Project Data'!$C$19</f>
        <v>59.241411764705887</v>
      </c>
      <c r="M63" s="972">
        <f>M75/'Project Data'!$C$19</f>
        <v>59.241411764705887</v>
      </c>
      <c r="N63" s="1016">
        <f>N75/'Project Data'!$C$19</f>
        <v>59.241411764705887</v>
      </c>
      <c r="O63" s="701"/>
      <c r="P63" s="701"/>
      <c r="Q63" s="710"/>
      <c r="R63" s="710"/>
      <c r="S63" s="710"/>
      <c r="T63" s="710"/>
      <c r="U63" s="7"/>
      <c r="V63" s="7"/>
      <c r="W63" s="7"/>
      <c r="X63" s="7"/>
      <c r="Y63" s="7"/>
      <c r="Z63" s="7"/>
      <c r="AA63" s="7"/>
      <c r="AB63" s="7"/>
      <c r="AC63" s="2"/>
      <c r="AD63" s="2"/>
    </row>
    <row r="64" spans="1:30" ht="11.25" customHeight="1" x14ac:dyDescent="0.15">
      <c r="A64" s="797" t="s">
        <v>51</v>
      </c>
      <c r="B64" s="666" t="s">
        <v>34</v>
      </c>
      <c r="C64" s="266">
        <f>N64</f>
        <v>63.805866666666667</v>
      </c>
      <c r="D64" s="267" t="s">
        <v>243</v>
      </c>
      <c r="E64" s="974">
        <f>E76/'Project Data'!$E$19</f>
        <v>0</v>
      </c>
      <c r="F64" s="62">
        <f>F76/'Project Data'!$E$19</f>
        <v>0</v>
      </c>
      <c r="G64" s="62">
        <f>G76/'Project Data'!$E$19</f>
        <v>0</v>
      </c>
      <c r="H64" s="891">
        <f>H76/'Project Data'!$E$19</f>
        <v>63.805866666666667</v>
      </c>
      <c r="I64" s="973">
        <f>I76/'Project Data'!$E$19</f>
        <v>63.805866666666667</v>
      </c>
      <c r="J64" s="973">
        <f>J76/'Project Data'!$E$19</f>
        <v>63.805866666666667</v>
      </c>
      <c r="K64" s="972">
        <f>K76/'Project Data'!$E$19</f>
        <v>63.805866666666667</v>
      </c>
      <c r="L64" s="972">
        <f>L76/'Project Data'!$E$19</f>
        <v>63.805866666666667</v>
      </c>
      <c r="M64" s="972">
        <f>M76/'Project Data'!$E$19</f>
        <v>63.805866666666667</v>
      </c>
      <c r="N64" s="1016">
        <f>N76/'Project Data'!$E$19</f>
        <v>63.805866666666667</v>
      </c>
      <c r="O64" s="701"/>
      <c r="P64" s="701"/>
      <c r="Q64" s="710"/>
      <c r="R64" s="710"/>
      <c r="S64" s="710"/>
      <c r="T64" s="710"/>
      <c r="U64" s="7"/>
      <c r="V64" s="7"/>
      <c r="W64" s="7"/>
      <c r="X64" s="7"/>
      <c r="Y64" s="7"/>
      <c r="Z64" s="7"/>
      <c r="AA64" s="7"/>
      <c r="AB64" s="7"/>
      <c r="AC64" s="2"/>
      <c r="AD64" s="2"/>
    </row>
    <row r="65" spans="1:30" ht="11.25" customHeight="1" x14ac:dyDescent="0.15">
      <c r="A65" s="797" t="s">
        <v>41</v>
      </c>
      <c r="B65" s="666" t="s">
        <v>34</v>
      </c>
      <c r="C65" s="266">
        <f>N65</f>
        <v>31.8645</v>
      </c>
      <c r="D65" s="267" t="s">
        <v>245</v>
      </c>
      <c r="E65" s="974">
        <f>E77/'Project Data'!$D$19</f>
        <v>0</v>
      </c>
      <c r="F65" s="62">
        <f>F77/'Project Data'!$D$19</f>
        <v>0</v>
      </c>
      <c r="G65" s="62">
        <f>G77/'Project Data'!$D$19</f>
        <v>0</v>
      </c>
      <c r="H65" s="973">
        <f>H77/'Project Data'!$D$19</f>
        <v>14.954500000000001</v>
      </c>
      <c r="I65" s="973">
        <f>I77/'Project Data'!$D$19</f>
        <v>14.954500000000001</v>
      </c>
      <c r="J65" s="973">
        <f>J77/'Project Data'!$D$19</f>
        <v>14.954500000000001</v>
      </c>
      <c r="K65" s="891">
        <f>K77/'Project Data'!$D$19</f>
        <v>31.8645</v>
      </c>
      <c r="L65" s="972">
        <f>L77/'Project Data'!$D$19</f>
        <v>31.8645</v>
      </c>
      <c r="M65" s="972">
        <f>M77/'Project Data'!$D$19</f>
        <v>31.8645</v>
      </c>
      <c r="N65" s="1016">
        <f>N77/'Project Data'!$D$19</f>
        <v>31.8645</v>
      </c>
      <c r="O65" s="701"/>
      <c r="P65" s="701"/>
      <c r="Q65" s="710"/>
      <c r="R65" s="710"/>
      <c r="S65" s="710"/>
      <c r="T65" s="710"/>
      <c r="U65" s="7"/>
      <c r="V65" s="7"/>
      <c r="W65" s="7"/>
      <c r="X65" s="7"/>
      <c r="Y65" s="7"/>
      <c r="Z65" s="7"/>
      <c r="AA65" s="7"/>
      <c r="AB65" s="7"/>
      <c r="AC65" s="2"/>
      <c r="AD65" s="2"/>
    </row>
    <row r="66" spans="1:30" ht="11.25" customHeight="1" x14ac:dyDescent="0.15">
      <c r="A66" s="798" t="s">
        <v>398</v>
      </c>
      <c r="B66" s="671"/>
      <c r="C66" s="266">
        <f>N66</f>
        <v>293448.05</v>
      </c>
      <c r="D66" s="267" t="s">
        <v>246</v>
      </c>
      <c r="E66" s="974">
        <f>E78*0.85</f>
        <v>0</v>
      </c>
      <c r="F66" s="62">
        <f>F78*0.85</f>
        <v>113644.48999999999</v>
      </c>
      <c r="G66" s="62">
        <f>G78*0.85</f>
        <v>247293.72999999998</v>
      </c>
      <c r="H66" s="891">
        <f>H78*0.85</f>
        <v>293448.05</v>
      </c>
      <c r="I66" s="973">
        <f>I78*0.85</f>
        <v>293448.05</v>
      </c>
      <c r="J66" s="973">
        <f>J78*0.85</f>
        <v>293448.05</v>
      </c>
      <c r="K66" s="972">
        <f>K78*0.85</f>
        <v>293448.05</v>
      </c>
      <c r="L66" s="972">
        <f>L78*0.85</f>
        <v>293448.05</v>
      </c>
      <c r="M66" s="972">
        <f>M78*0.85</f>
        <v>293448.05</v>
      </c>
      <c r="N66" s="1016">
        <f>N78*0.85</f>
        <v>293448.05</v>
      </c>
      <c r="O66" s="701"/>
      <c r="P66" s="701"/>
      <c r="Q66" s="710"/>
      <c r="R66" s="710"/>
      <c r="S66" s="710"/>
      <c r="T66" s="710"/>
      <c r="U66" s="7"/>
      <c r="V66" s="7"/>
      <c r="W66" s="7"/>
      <c r="X66" s="7"/>
      <c r="Y66" s="7"/>
      <c r="Z66" s="7"/>
      <c r="AA66" s="7"/>
      <c r="AB66" s="7"/>
      <c r="AC66" s="2"/>
      <c r="AD66" s="2"/>
    </row>
    <row r="67" spans="1:30" ht="11.25" customHeight="1" x14ac:dyDescent="0.15">
      <c r="A67" s="798" t="s">
        <v>60</v>
      </c>
      <c r="B67" s="671"/>
      <c r="C67" s="266">
        <f>N67</f>
        <v>185827.85</v>
      </c>
      <c r="D67" s="267" t="s">
        <v>246</v>
      </c>
      <c r="E67" s="974">
        <f>E79*0.85</f>
        <v>32017.8</v>
      </c>
      <c r="F67" s="62">
        <f>F79*0.85</f>
        <v>106726</v>
      </c>
      <c r="G67" s="62">
        <f>G79*0.85</f>
        <v>133875</v>
      </c>
      <c r="H67" s="891">
        <f>H79*0.85</f>
        <v>185827.85</v>
      </c>
      <c r="I67" s="973">
        <f>I79*0.85</f>
        <v>185827.85</v>
      </c>
      <c r="J67" s="973">
        <f>J79*0.85</f>
        <v>185827.85</v>
      </c>
      <c r="K67" s="972">
        <f>K79*0.85</f>
        <v>185827.85</v>
      </c>
      <c r="L67" s="972">
        <f>L79*0.85</f>
        <v>185827.85</v>
      </c>
      <c r="M67" s="972">
        <f>M79*0.85</f>
        <v>185827.85</v>
      </c>
      <c r="N67" s="1016">
        <f>N79*0.85</f>
        <v>185827.85</v>
      </c>
      <c r="O67" s="701"/>
      <c r="P67" s="701"/>
      <c r="Q67" s="701"/>
      <c r="R67" s="701"/>
      <c r="S67" s="701"/>
      <c r="T67" s="701"/>
      <c r="U67" s="7"/>
      <c r="V67" s="7"/>
      <c r="W67" s="7"/>
      <c r="X67" s="7"/>
      <c r="Y67" s="7"/>
      <c r="Z67" s="7"/>
      <c r="AA67" s="7"/>
      <c r="AB67" s="7"/>
      <c r="AC67" s="2"/>
      <c r="AD67" s="2"/>
    </row>
    <row r="68" spans="1:30" ht="11.25" customHeight="1" x14ac:dyDescent="0.15">
      <c r="A68" s="798" t="s">
        <v>62</v>
      </c>
      <c r="B68" s="671"/>
      <c r="C68" s="266">
        <f>N68</f>
        <v>177681.62</v>
      </c>
      <c r="D68" s="267" t="s">
        <v>246</v>
      </c>
      <c r="E68" s="974">
        <f>E80*0.85</f>
        <v>0</v>
      </c>
      <c r="F68" s="62">
        <f>F80*0.85</f>
        <v>35536.324000000001</v>
      </c>
      <c r="G68" s="62">
        <f>G80*0.85</f>
        <v>71072.648000000001</v>
      </c>
      <c r="H68" s="973">
        <f>H80*0.85</f>
        <v>106608.97200000001</v>
      </c>
      <c r="I68" s="973">
        <f>I80*0.85</f>
        <v>142145.296</v>
      </c>
      <c r="J68" s="891">
        <f>J80*0.85</f>
        <v>177681.62</v>
      </c>
      <c r="K68" s="972">
        <f>K80*0.85</f>
        <v>177681.62</v>
      </c>
      <c r="L68" s="972">
        <f>L80*0.85</f>
        <v>177681.62</v>
      </c>
      <c r="M68" s="972">
        <f>M80*0.85</f>
        <v>177681.62</v>
      </c>
      <c r="N68" s="1016">
        <f>N80*0.85</f>
        <v>177681.62</v>
      </c>
      <c r="O68" s="701"/>
      <c r="P68" s="701"/>
      <c r="Q68" s="710"/>
      <c r="R68" s="710"/>
      <c r="S68" s="710"/>
      <c r="T68" s="710"/>
      <c r="U68" s="7"/>
      <c r="V68" s="7"/>
      <c r="W68" s="7"/>
      <c r="X68" s="7"/>
      <c r="Y68" s="7"/>
      <c r="Z68" s="7"/>
      <c r="AA68" s="7"/>
      <c r="AB68" s="7"/>
      <c r="AC68" s="2"/>
      <c r="AD68" s="2"/>
    </row>
    <row r="69" spans="1:30" ht="11.25" customHeight="1" x14ac:dyDescent="0.15">
      <c r="A69" s="799"/>
      <c r="B69" s="666" t="s">
        <v>72</v>
      </c>
      <c r="C69" s="267">
        <f>N69</f>
        <v>239.69749999999999</v>
      </c>
      <c r="D69" s="267" t="s">
        <v>247</v>
      </c>
      <c r="E69" s="974">
        <f>E81/'Project Data'!$B$85</f>
        <v>0</v>
      </c>
      <c r="F69" s="891">
        <f>F81/'Project Data'!$B$85</f>
        <v>239.69749999999999</v>
      </c>
      <c r="G69" s="62">
        <f>G81/'Project Data'!$B$85</f>
        <v>239.69749999999999</v>
      </c>
      <c r="H69" s="973">
        <f>H81/'Project Data'!$B$85</f>
        <v>239.69749999999999</v>
      </c>
      <c r="I69" s="973">
        <f>I81/'Project Data'!$B$85</f>
        <v>239.69749999999999</v>
      </c>
      <c r="J69" s="973">
        <f>J81/'Project Data'!$B$85</f>
        <v>239.69749999999999</v>
      </c>
      <c r="K69" s="972">
        <f>K81/'Project Data'!$B$85</f>
        <v>239.69749999999999</v>
      </c>
      <c r="L69" s="972">
        <f>L81/'Project Data'!$B$85</f>
        <v>239.69749999999999</v>
      </c>
      <c r="M69" s="972">
        <f>M81/'Project Data'!$B$85</f>
        <v>239.69749999999999</v>
      </c>
      <c r="N69" s="1016">
        <f>N81/'Project Data'!$B$85</f>
        <v>239.69749999999999</v>
      </c>
      <c r="O69" s="701"/>
      <c r="P69" s="701"/>
      <c r="Q69" s="710"/>
      <c r="R69" s="710"/>
      <c r="S69" s="710"/>
      <c r="T69" s="710"/>
      <c r="U69" s="7"/>
      <c r="V69" s="7"/>
      <c r="W69" s="7"/>
      <c r="X69" s="7"/>
      <c r="Y69" s="7"/>
      <c r="Z69" s="7"/>
      <c r="AA69" s="7"/>
      <c r="AB69" s="7"/>
      <c r="AC69" s="2"/>
      <c r="AD69" s="2"/>
    </row>
    <row r="70" spans="1:30" ht="11.25" customHeight="1" x14ac:dyDescent="0.15">
      <c r="A70" s="798" t="s">
        <v>67</v>
      </c>
      <c r="B70" s="671"/>
      <c r="C70" s="266">
        <f>N70</f>
        <v>403.48888888888888</v>
      </c>
      <c r="D70" s="267" t="s">
        <v>249</v>
      </c>
      <c r="E70" s="891">
        <f>E82/'Project Data'!$B$92</f>
        <v>403.48888888888888</v>
      </c>
      <c r="F70" s="62">
        <f>F82/'Project Data'!$B$92</f>
        <v>403.48888888888888</v>
      </c>
      <c r="G70" s="62">
        <f>G82/'Project Data'!$B$92</f>
        <v>403.48888888888888</v>
      </c>
      <c r="H70" s="973">
        <f>H82/'Project Data'!$B$92</f>
        <v>403.48888888888888</v>
      </c>
      <c r="I70" s="973">
        <f>I82/'Project Data'!$B$92</f>
        <v>403.48888888888888</v>
      </c>
      <c r="J70" s="973">
        <f>J82/'Project Data'!$B$92</f>
        <v>403.48888888888888</v>
      </c>
      <c r="K70" s="972">
        <f>K82/'Project Data'!$B$92</f>
        <v>403.48888888888888</v>
      </c>
      <c r="L70" s="972">
        <f>L82/'Project Data'!$B$92</f>
        <v>403.48888888888888</v>
      </c>
      <c r="M70" s="972">
        <f>M82/'Project Data'!$B$92</f>
        <v>403.48888888888888</v>
      </c>
      <c r="N70" s="1016">
        <f>N82/'Project Data'!$B$92</f>
        <v>403.48888888888888</v>
      </c>
      <c r="O70" s="701"/>
      <c r="P70" s="701"/>
      <c r="Q70" s="710"/>
      <c r="R70" s="710"/>
      <c r="S70" s="710"/>
      <c r="T70" s="710"/>
      <c r="U70" s="7"/>
      <c r="V70" s="7"/>
      <c r="W70" s="7"/>
      <c r="X70" s="7"/>
      <c r="Y70" s="7"/>
      <c r="Z70" s="7"/>
      <c r="AA70" s="7"/>
      <c r="AB70" s="7"/>
      <c r="AC70" s="2"/>
      <c r="AD70" s="2"/>
    </row>
    <row r="71" spans="1:30" ht="11.25" customHeight="1" x14ac:dyDescent="0.15">
      <c r="A71" s="798" t="s">
        <v>91</v>
      </c>
      <c r="B71" s="671"/>
      <c r="C71" s="266">
        <f>N71</f>
        <v>382.017</v>
      </c>
      <c r="D71" s="267" t="s">
        <v>250</v>
      </c>
      <c r="E71" s="974">
        <f>'11. Structured Parking'!D45</f>
        <v>226.07899999999998</v>
      </c>
      <c r="F71" s="62">
        <f>'11. Structured Parking'!E45</f>
        <v>259.83299999999997</v>
      </c>
      <c r="G71" s="62">
        <f>'11. Structured Parking'!F45</f>
        <v>259.83299999999997</v>
      </c>
      <c r="H71" s="973">
        <f>'11. Structured Parking'!G45</f>
        <v>259.83299999999997</v>
      </c>
      <c r="I71" s="973">
        <f>'11. Structured Parking'!H45</f>
        <v>259.83299999999997</v>
      </c>
      <c r="J71" s="973">
        <f>'11. Structured Parking'!I45</f>
        <v>259.83299999999997</v>
      </c>
      <c r="K71" s="972">
        <f>'11. Structured Parking'!J45</f>
        <v>302.59739999999999</v>
      </c>
      <c r="L71" s="972">
        <f>'11. Structured Parking'!K45</f>
        <v>327.0342</v>
      </c>
      <c r="M71" s="891">
        <f>'11. Structured Parking'!L45</f>
        <v>382.017</v>
      </c>
      <c r="N71" s="1016">
        <f>'11. Structured Parking'!M45</f>
        <v>382.017</v>
      </c>
      <c r="O71" s="701"/>
      <c r="P71" s="701"/>
      <c r="Q71" s="710"/>
      <c r="R71" s="710"/>
      <c r="S71" s="710"/>
      <c r="T71" s="710"/>
      <c r="U71" s="7"/>
      <c r="V71" s="7"/>
      <c r="W71" s="7"/>
      <c r="X71" s="7"/>
      <c r="Y71" s="7"/>
      <c r="Z71" s="7"/>
      <c r="AA71" s="7"/>
      <c r="AB71" s="7"/>
      <c r="AC71" s="2"/>
      <c r="AD71" s="2"/>
    </row>
    <row r="72" spans="1:30" ht="11.25" customHeight="1" x14ac:dyDescent="0.15">
      <c r="A72" s="800" t="s">
        <v>251</v>
      </c>
      <c r="B72" s="111"/>
      <c r="C72" s="112"/>
      <c r="D72" s="112"/>
      <c r="E72" s="112"/>
      <c r="F72" s="114"/>
      <c r="G72" s="114"/>
      <c r="H72" s="114"/>
      <c r="I72" s="114"/>
      <c r="J72" s="114"/>
      <c r="K72" s="114"/>
      <c r="L72" s="114"/>
      <c r="M72" s="114"/>
      <c r="N72" s="801"/>
      <c r="O72" s="701"/>
      <c r="P72" s="701"/>
      <c r="Q72" s="710"/>
      <c r="R72" s="710"/>
      <c r="S72" s="710"/>
      <c r="T72" s="710"/>
      <c r="U72" s="7"/>
      <c r="V72" s="7"/>
      <c r="W72" s="7"/>
      <c r="X72" s="7"/>
      <c r="Y72" s="7"/>
      <c r="Z72" s="7"/>
      <c r="AA72" s="7"/>
      <c r="AB72" s="7"/>
      <c r="AC72" s="2"/>
      <c r="AD72" s="2"/>
    </row>
    <row r="73" spans="1:30" ht="11.25" customHeight="1" x14ac:dyDescent="0.15">
      <c r="A73" s="794" t="s">
        <v>33</v>
      </c>
      <c r="B73" s="666" t="s">
        <v>34</v>
      </c>
      <c r="C73" s="266">
        <f t="shared" ref="C73:C84" si="0">N73</f>
        <v>108534</v>
      </c>
      <c r="D73" s="267" t="s">
        <v>246</v>
      </c>
      <c r="E73" s="974">
        <f>'3. Upscale Rental Apartments'!D22*'3. Upscale Rental Apartments'!$B$12</f>
        <v>0</v>
      </c>
      <c r="F73" s="62">
        <f>'3. Upscale Rental Apartments'!E22*'3. Upscale Rental Apartments'!$B$12</f>
        <v>0</v>
      </c>
      <c r="G73" s="62">
        <f>'3. Upscale Rental Apartments'!F22*'3. Upscale Rental Apartments'!$B$12</f>
        <v>0</v>
      </c>
      <c r="H73" s="973">
        <f>'3. Upscale Rental Apartments'!G22*'3. Upscale Rental Apartments'!$B$12</f>
        <v>0</v>
      </c>
      <c r="I73" s="973">
        <f>'3. Upscale Rental Apartments'!H22*'3. Upscale Rental Apartments'!$B$12</f>
        <v>0</v>
      </c>
      <c r="J73" s="973">
        <f>'3. Upscale Rental Apartments'!I22*'3. Upscale Rental Apartments'!$B$12</f>
        <v>0</v>
      </c>
      <c r="K73" s="972">
        <f>'3. Upscale Rental Apartments'!J22*'3. Upscale Rental Apartments'!$B$12</f>
        <v>86827.200000000012</v>
      </c>
      <c r="L73" s="972">
        <f>'3. Upscale Rental Apartments'!K22*'3. Upscale Rental Apartments'!$B$12</f>
        <v>108534</v>
      </c>
      <c r="M73" s="972">
        <f>'3. Upscale Rental Apartments'!L22*'3. Upscale Rental Apartments'!$B$12</f>
        <v>108534</v>
      </c>
      <c r="N73" s="1016">
        <f>'3. Upscale Rental Apartments'!M22*'3. Upscale Rental Apartments'!$B$12</f>
        <v>108534</v>
      </c>
      <c r="O73" s="701"/>
      <c r="P73" s="701"/>
      <c r="Q73" s="710"/>
      <c r="R73" s="710"/>
      <c r="S73" s="710"/>
      <c r="T73" s="710"/>
      <c r="U73" s="7"/>
      <c r="V73" s="7"/>
      <c r="W73" s="7"/>
      <c r="X73" s="7"/>
      <c r="Y73" s="7"/>
      <c r="Z73" s="7"/>
      <c r="AA73" s="7"/>
      <c r="AB73" s="7"/>
      <c r="AC73" s="2"/>
      <c r="AD73" s="2"/>
    </row>
    <row r="74" spans="1:30" ht="11.25" customHeight="1" x14ac:dyDescent="0.15">
      <c r="A74" s="795"/>
      <c r="B74" s="51" t="s">
        <v>38</v>
      </c>
      <c r="C74" s="266">
        <f t="shared" si="0"/>
        <v>122184</v>
      </c>
      <c r="D74" s="267" t="s">
        <v>246</v>
      </c>
      <c r="E74" s="974">
        <f>'4. Condominiums'!D23*'4. Condominiums'!$B$7</f>
        <v>0</v>
      </c>
      <c r="F74" s="62">
        <f>'4. Condominiums'!E23*'4. Condominiums'!$B$7</f>
        <v>0</v>
      </c>
      <c r="G74" s="62">
        <f>'4. Condominiums'!F23*'4. Condominiums'!$B$7</f>
        <v>0</v>
      </c>
      <c r="H74" s="973">
        <f>'4. Condominiums'!G23*'4. Condominiums'!$B$7</f>
        <v>0</v>
      </c>
      <c r="I74" s="973">
        <f>'4. Condominiums'!H23*'4. Condominiums'!$B$7</f>
        <v>0</v>
      </c>
      <c r="J74" s="973">
        <f>'4. Condominiums'!I23*'4. Condominiums'!$B$7</f>
        <v>0</v>
      </c>
      <c r="K74" s="972">
        <f>'4. Condominiums'!J23*'4. Condominiums'!$B$7</f>
        <v>42764.399999999994</v>
      </c>
      <c r="L74" s="972">
        <f>'4. Condominiums'!K23*'4. Condominiums'!$B$7</f>
        <v>67201.200000000012</v>
      </c>
      <c r="M74" s="972">
        <f>'4. Condominiums'!L23*'4. Condominiums'!$B$7</f>
        <v>122184</v>
      </c>
      <c r="N74" s="1016">
        <f>'4. Condominiums'!M23*'4. Condominiums'!$B$7</f>
        <v>122184</v>
      </c>
      <c r="O74" s="701"/>
      <c r="P74" s="701"/>
      <c r="Q74" s="710"/>
      <c r="R74" s="710"/>
      <c r="S74" s="710"/>
      <c r="T74" s="710"/>
      <c r="U74" s="7"/>
      <c r="V74" s="7"/>
      <c r="W74" s="7"/>
      <c r="X74" s="7"/>
      <c r="Y74" s="7"/>
      <c r="Z74" s="7"/>
      <c r="AA74" s="7"/>
      <c r="AB74" s="7"/>
      <c r="AC74" s="2"/>
      <c r="AD74" s="2"/>
    </row>
    <row r="75" spans="1:30" ht="11.25" customHeight="1" x14ac:dyDescent="0.15">
      <c r="A75" s="797" t="s">
        <v>45</v>
      </c>
      <c r="B75" s="666" t="s">
        <v>34</v>
      </c>
      <c r="C75" s="266">
        <f t="shared" si="0"/>
        <v>50355.200000000004</v>
      </c>
      <c r="D75" s="267" t="s">
        <v>246</v>
      </c>
      <c r="E75" s="974">
        <f>'7. Market Rental Apartments'!D22*'7. Market Rental Apartments'!$B$13</f>
        <v>0</v>
      </c>
      <c r="F75" s="62">
        <f>'7. Market Rental Apartments'!E22*'7. Market Rental Apartments'!$B$13</f>
        <v>0</v>
      </c>
      <c r="G75" s="62">
        <f>'7. Market Rental Apartments'!F22*'7. Market Rental Apartments'!$B$13</f>
        <v>0</v>
      </c>
      <c r="H75" s="973">
        <f>'7. Market Rental Apartments'!G22*'7. Market Rental Apartments'!$B$13</f>
        <v>0</v>
      </c>
      <c r="I75" s="973">
        <f>'7. Market Rental Apartments'!H22*'7. Market Rental Apartments'!$B$13</f>
        <v>0</v>
      </c>
      <c r="J75" s="973">
        <f>'7. Market Rental Apartments'!I22*'7. Market Rental Apartments'!$B$13</f>
        <v>0</v>
      </c>
      <c r="K75" s="972">
        <f>'7. Market Rental Apartments'!J22*'7. Market Rental Apartments'!$B$13</f>
        <v>50355.200000000004</v>
      </c>
      <c r="L75" s="972">
        <f>'7. Market Rental Apartments'!K22*'7. Market Rental Apartments'!$B$13</f>
        <v>50355.200000000004</v>
      </c>
      <c r="M75" s="972">
        <f>'7. Market Rental Apartments'!L22*'7. Market Rental Apartments'!$B$13</f>
        <v>50355.200000000004</v>
      </c>
      <c r="N75" s="1016">
        <f>'7. Market Rental Apartments'!M22*'7. Market Rental Apartments'!$B$13</f>
        <v>50355.200000000004</v>
      </c>
      <c r="O75" s="701"/>
      <c r="P75" s="701"/>
      <c r="Q75" s="710"/>
      <c r="R75" s="710"/>
      <c r="S75" s="710"/>
      <c r="T75" s="710"/>
      <c r="U75" s="7"/>
      <c r="V75" s="7"/>
      <c r="W75" s="7"/>
      <c r="X75" s="7"/>
      <c r="Y75" s="7"/>
      <c r="Z75" s="7"/>
      <c r="AA75" s="7"/>
      <c r="AB75" s="7"/>
      <c r="AC75" s="2"/>
      <c r="AD75" s="2"/>
    </row>
    <row r="76" spans="1:30" ht="11.25" customHeight="1" x14ac:dyDescent="0.15">
      <c r="A76" s="797" t="s">
        <v>51</v>
      </c>
      <c r="B76" s="666" t="s">
        <v>34</v>
      </c>
      <c r="C76" s="266">
        <f t="shared" si="0"/>
        <v>47854.400000000001</v>
      </c>
      <c r="D76" s="267" t="s">
        <v>246</v>
      </c>
      <c r="E76" s="974">
        <f>'6. Live Work Lofts'!$B$11*'6. Live Work Lofts'!D21</f>
        <v>0</v>
      </c>
      <c r="F76" s="62">
        <f>'6. Live Work Lofts'!$B$11*'6. Live Work Lofts'!E21</f>
        <v>0</v>
      </c>
      <c r="G76" s="62">
        <f>'6. Live Work Lofts'!$B$11*'6. Live Work Lofts'!F21</f>
        <v>0</v>
      </c>
      <c r="H76" s="973">
        <f>'6. Live Work Lofts'!$B$11*'6. Live Work Lofts'!G21</f>
        <v>47854.400000000001</v>
      </c>
      <c r="I76" s="973">
        <f>'6. Live Work Lofts'!$B$11*'6. Live Work Lofts'!H21</f>
        <v>47854.400000000001</v>
      </c>
      <c r="J76" s="973">
        <f>'6. Live Work Lofts'!$B$11*'6. Live Work Lofts'!I21</f>
        <v>47854.400000000001</v>
      </c>
      <c r="K76" s="972">
        <f>'6. Live Work Lofts'!$B$11*'6. Live Work Lofts'!J21</f>
        <v>47854.400000000001</v>
      </c>
      <c r="L76" s="972">
        <f>'6. Live Work Lofts'!$B$11*'6. Live Work Lofts'!K21</f>
        <v>47854.400000000001</v>
      </c>
      <c r="M76" s="972">
        <f>'6. Live Work Lofts'!$B$11*'6. Live Work Lofts'!L21</f>
        <v>47854.400000000001</v>
      </c>
      <c r="N76" s="1016">
        <f>'6. Live Work Lofts'!$B$11*'6. Live Work Lofts'!M21</f>
        <v>47854.400000000001</v>
      </c>
      <c r="O76" s="701"/>
      <c r="P76" s="701"/>
      <c r="Q76" s="710"/>
      <c r="R76" s="710"/>
      <c r="S76" s="710"/>
      <c r="T76" s="710"/>
      <c r="U76" s="7"/>
      <c r="V76" s="7"/>
      <c r="W76" s="7"/>
      <c r="X76" s="7"/>
      <c r="Y76" s="7"/>
      <c r="Z76" s="7"/>
      <c r="AA76" s="7"/>
      <c r="AB76" s="7"/>
      <c r="AC76" s="2"/>
      <c r="AD76" s="2"/>
    </row>
    <row r="77" spans="1:30" ht="11.25" customHeight="1" x14ac:dyDescent="0.15">
      <c r="A77" s="797" t="s">
        <v>41</v>
      </c>
      <c r="B77" s="666" t="s">
        <v>34</v>
      </c>
      <c r="C77" s="266">
        <f t="shared" si="0"/>
        <v>25491.599999999999</v>
      </c>
      <c r="D77" s="267" t="s">
        <v>246</v>
      </c>
      <c r="E77" s="974">
        <f>'5. Affordable Rental Apartments'!D20*'5. Affordable Rental Apartments'!$B$11</f>
        <v>0</v>
      </c>
      <c r="F77" s="62">
        <f>'5. Affordable Rental Apartments'!E20*'5. Affordable Rental Apartments'!$B$11</f>
        <v>0</v>
      </c>
      <c r="G77" s="62">
        <f>'5. Affordable Rental Apartments'!F20*'5. Affordable Rental Apartments'!$B$11</f>
        <v>0</v>
      </c>
      <c r="H77" s="973">
        <f>'5. Affordable Rental Apartments'!G20*'5. Affordable Rental Apartments'!$B$11</f>
        <v>11963.6</v>
      </c>
      <c r="I77" s="973">
        <f>'5. Affordable Rental Apartments'!H20*'5. Affordable Rental Apartments'!$B$11</f>
        <v>11963.6</v>
      </c>
      <c r="J77" s="973">
        <f>'5. Affordable Rental Apartments'!I20*'5. Affordable Rental Apartments'!$B$11</f>
        <v>11963.6</v>
      </c>
      <c r="K77" s="972">
        <f>'5. Affordable Rental Apartments'!J20*'5. Affordable Rental Apartments'!$B$11</f>
        <v>25491.599999999999</v>
      </c>
      <c r="L77" s="972">
        <f>'5. Affordable Rental Apartments'!K20*'5. Affordable Rental Apartments'!$B$11</f>
        <v>25491.599999999999</v>
      </c>
      <c r="M77" s="972">
        <f>'5. Affordable Rental Apartments'!L20*'5. Affordable Rental Apartments'!$B$11</f>
        <v>25491.599999999999</v>
      </c>
      <c r="N77" s="1016">
        <f>'5. Affordable Rental Apartments'!M20*'5. Affordable Rental Apartments'!$B$11</f>
        <v>25491.599999999999</v>
      </c>
      <c r="O77" s="701"/>
      <c r="P77" s="701"/>
      <c r="Q77" s="710"/>
      <c r="R77" s="710"/>
      <c r="S77" s="710"/>
      <c r="T77" s="710"/>
      <c r="U77" s="7"/>
      <c r="V77" s="7"/>
      <c r="W77" s="7"/>
      <c r="X77" s="7"/>
      <c r="Y77" s="7"/>
      <c r="Z77" s="7"/>
      <c r="AA77" s="7"/>
      <c r="AB77" s="7"/>
      <c r="AC77" s="2"/>
      <c r="AD77" s="2"/>
    </row>
    <row r="78" spans="1:30" ht="11.25" customHeight="1" x14ac:dyDescent="0.15">
      <c r="A78" s="798" t="s">
        <v>398</v>
      </c>
      <c r="B78" s="671"/>
      <c r="C78" s="266">
        <f t="shared" si="0"/>
        <v>345233</v>
      </c>
      <c r="D78" s="267" t="s">
        <v>246</v>
      </c>
      <c r="E78" s="974">
        <f>'8. Offices, Incubators &amp; Educat'!D22*'8. Offices, Incubators &amp; Educat'!$B$12+'8. Offices, Incubators &amp; Educat'!D56*'8. Offices, Incubators &amp; Educat'!$B$46+'8. Offices, Incubators &amp; Educat'!D90*'8. Offices, Incubators &amp; Educat'!$B$80</f>
        <v>0</v>
      </c>
      <c r="F78" s="62">
        <f>'8. Offices, Incubators &amp; Educat'!E22*'8. Offices, Incubators &amp; Educat'!$B$12+'8. Offices, Incubators &amp; Educat'!E56*'8. Offices, Incubators &amp; Educat'!$B$46+'8. Offices, Incubators &amp; Educat'!E90*'8. Offices, Incubators &amp; Educat'!$B$80</f>
        <v>133699.4</v>
      </c>
      <c r="G78" s="62">
        <f>'8. Offices, Incubators &amp; Educat'!F22*'8. Offices, Incubators &amp; Educat'!$B$12+'8. Offices, Incubators &amp; Educat'!F56*'8. Offices, Incubators &amp; Educat'!$B$46+'8. Offices, Incubators &amp; Educat'!F90*'8. Offices, Incubators &amp; Educat'!$B$80</f>
        <v>290933.8</v>
      </c>
      <c r="H78" s="973">
        <f>'8. Offices, Incubators &amp; Educat'!G22*'8. Offices, Incubators &amp; Educat'!$B$12+'8. Offices, Incubators &amp; Educat'!G56*'8. Offices, Incubators &amp; Educat'!$B$46+'8. Offices, Incubators &amp; Educat'!G90*'8. Offices, Incubators &amp; Educat'!$B$80</f>
        <v>345233</v>
      </c>
      <c r="I78" s="973">
        <f>'8. Offices, Incubators &amp; Educat'!H22*'8. Offices, Incubators &amp; Educat'!$B$12+'8. Offices, Incubators &amp; Educat'!H56*'8. Offices, Incubators &amp; Educat'!$B$46+'8. Offices, Incubators &amp; Educat'!H90*'8. Offices, Incubators &amp; Educat'!$B$80</f>
        <v>345233</v>
      </c>
      <c r="J78" s="973">
        <f>'8. Offices, Incubators &amp; Educat'!I22*'8. Offices, Incubators &amp; Educat'!$B$12+'8. Offices, Incubators &amp; Educat'!I56*'8. Offices, Incubators &amp; Educat'!$B$46+'8. Offices, Incubators &amp; Educat'!I90*'8. Offices, Incubators &amp; Educat'!$B$80</f>
        <v>345233</v>
      </c>
      <c r="K78" s="972">
        <f>'8. Offices, Incubators &amp; Educat'!J22*'8. Offices, Incubators &amp; Educat'!$B$12+'8. Offices, Incubators &amp; Educat'!J56*'8. Offices, Incubators &amp; Educat'!$B$46+'8. Offices, Incubators &amp; Educat'!J90*'8. Offices, Incubators &amp; Educat'!$B$80</f>
        <v>345233</v>
      </c>
      <c r="L78" s="972">
        <f>'8. Offices, Incubators &amp; Educat'!K22*'8. Offices, Incubators &amp; Educat'!$B$12+'8. Offices, Incubators &amp; Educat'!K56*'8. Offices, Incubators &amp; Educat'!$B$46+'8. Offices, Incubators &amp; Educat'!K90*'8. Offices, Incubators &amp; Educat'!$B$80</f>
        <v>345233</v>
      </c>
      <c r="M78" s="972">
        <f>'8. Offices, Incubators &amp; Educat'!L22*'8. Offices, Incubators &amp; Educat'!$B$12+'8. Offices, Incubators &amp; Educat'!L56*'8. Offices, Incubators &amp; Educat'!$B$46+'8. Offices, Incubators &amp; Educat'!L90*'8. Offices, Incubators &amp; Educat'!$B$80</f>
        <v>345233</v>
      </c>
      <c r="N78" s="1016">
        <f>'8. Offices, Incubators &amp; Educat'!M22*'8. Offices, Incubators &amp; Educat'!$B$12+'8. Offices, Incubators &amp; Educat'!M56*'8. Offices, Incubators &amp; Educat'!$B$46+'8. Offices, Incubators &amp; Educat'!M90*'8. Offices, Incubators &amp; Educat'!$B$80</f>
        <v>345233</v>
      </c>
      <c r="O78" s="701"/>
      <c r="P78" s="701"/>
      <c r="Q78" s="710"/>
      <c r="R78" s="710"/>
      <c r="S78" s="710"/>
      <c r="T78" s="710"/>
      <c r="U78" s="7"/>
      <c r="V78" s="7"/>
      <c r="W78" s="7"/>
      <c r="X78" s="7"/>
      <c r="Y78" s="7"/>
      <c r="Z78" s="7"/>
      <c r="AA78" s="7"/>
      <c r="AB78" s="7"/>
      <c r="AC78" s="2"/>
      <c r="AD78" s="2"/>
    </row>
    <row r="79" spans="1:30" ht="11.25" customHeight="1" x14ac:dyDescent="0.15">
      <c r="A79" s="798" t="s">
        <v>60</v>
      </c>
      <c r="B79" s="671"/>
      <c r="C79" s="266">
        <f t="shared" si="0"/>
        <v>218621</v>
      </c>
      <c r="D79" s="267" t="s">
        <v>246</v>
      </c>
      <c r="E79" s="974">
        <f>'1. Light Industry and Workshops'!$B$12*'1. Light Industry and Workshops'!D22</f>
        <v>37668</v>
      </c>
      <c r="F79" s="62">
        <f>'1. Light Industry and Workshops'!$B$12*'1. Light Industry and Workshops'!E22</f>
        <v>125560</v>
      </c>
      <c r="G79" s="62">
        <f>'1. Light Industry and Workshops'!$B$12*'1. Light Industry and Workshops'!F22</f>
        <v>157500</v>
      </c>
      <c r="H79" s="973">
        <f>'1. Light Industry and Workshops'!$B$12*'1. Light Industry and Workshops'!G22</f>
        <v>218621</v>
      </c>
      <c r="I79" s="973">
        <f>'1. Light Industry and Workshops'!$B$12*'1. Light Industry and Workshops'!H22</f>
        <v>218621</v>
      </c>
      <c r="J79" s="973">
        <f>'1. Light Industry and Workshops'!$B$12*'1. Light Industry and Workshops'!I22</f>
        <v>218621</v>
      </c>
      <c r="K79" s="972">
        <f>'1. Light Industry and Workshops'!$B$12*'1. Light Industry and Workshops'!J22</f>
        <v>218621</v>
      </c>
      <c r="L79" s="972">
        <f>'1. Light Industry and Workshops'!$B$12*'1. Light Industry and Workshops'!K22</f>
        <v>218621</v>
      </c>
      <c r="M79" s="972">
        <f>'1. Light Industry and Workshops'!$B$12*'1. Light Industry and Workshops'!L22</f>
        <v>218621</v>
      </c>
      <c r="N79" s="1016">
        <f>'1. Light Industry and Workshops'!$B$12*'1. Light Industry and Workshops'!M22</f>
        <v>218621</v>
      </c>
      <c r="O79" s="701"/>
      <c r="P79" s="701"/>
      <c r="Q79" s="701"/>
      <c r="R79" s="701"/>
      <c r="S79" s="701"/>
      <c r="T79" s="701"/>
      <c r="U79" s="7"/>
      <c r="V79" s="7"/>
      <c r="W79" s="7"/>
      <c r="X79" s="7"/>
      <c r="Y79" s="7"/>
      <c r="Z79" s="7"/>
      <c r="AA79" s="7"/>
      <c r="AB79" s="7"/>
      <c r="AC79" s="2"/>
      <c r="AD79" s="2"/>
    </row>
    <row r="80" spans="1:30" ht="11.25" customHeight="1" x14ac:dyDescent="0.15">
      <c r="A80" s="798" t="s">
        <v>62</v>
      </c>
      <c r="B80" s="671"/>
      <c r="C80" s="266">
        <f t="shared" si="0"/>
        <v>209037.2</v>
      </c>
      <c r="D80" s="267" t="s">
        <v>246</v>
      </c>
      <c r="E80" s="974">
        <f>'9. Commercial - Retail'!D22*'9. Commercial - Retail'!$B$12</f>
        <v>0</v>
      </c>
      <c r="F80" s="62">
        <f>'9. Commercial - Retail'!E22*'9. Commercial - Retail'!$B$12</f>
        <v>41807.440000000002</v>
      </c>
      <c r="G80" s="62">
        <f>'9. Commercial - Retail'!F22*'9. Commercial - Retail'!$B$12</f>
        <v>83614.880000000005</v>
      </c>
      <c r="H80" s="973">
        <f>'9. Commercial - Retail'!G22*'9. Commercial - Retail'!$B$12</f>
        <v>125422.32000000002</v>
      </c>
      <c r="I80" s="973">
        <f>'9. Commercial - Retail'!H22*'9. Commercial - Retail'!$B$12</f>
        <v>167229.76000000001</v>
      </c>
      <c r="J80" s="973">
        <f>'9. Commercial - Retail'!I22*'9. Commercial - Retail'!$B$12</f>
        <v>209037.2</v>
      </c>
      <c r="K80" s="972">
        <f>'9. Commercial - Retail'!J22*'9. Commercial - Retail'!$B$12</f>
        <v>209037.2</v>
      </c>
      <c r="L80" s="972">
        <f>'9. Commercial - Retail'!K22*'9. Commercial - Retail'!$B$12</f>
        <v>209037.2</v>
      </c>
      <c r="M80" s="972">
        <f>'9. Commercial - Retail'!L22*'9. Commercial - Retail'!$B$12</f>
        <v>209037.2</v>
      </c>
      <c r="N80" s="1016">
        <f>'9. Commercial - Retail'!M22*'9. Commercial - Retail'!$B$12</f>
        <v>209037.2</v>
      </c>
      <c r="O80" s="701"/>
      <c r="P80" s="701"/>
      <c r="Q80" s="710"/>
      <c r="R80" s="710"/>
      <c r="S80" s="710"/>
      <c r="T80" s="710"/>
      <c r="U80" s="7"/>
      <c r="V80" s="7"/>
      <c r="W80" s="7"/>
      <c r="X80" s="7"/>
      <c r="Y80" s="7"/>
      <c r="Z80" s="7"/>
      <c r="AA80" s="7"/>
      <c r="AB80" s="7"/>
      <c r="AC80" s="2"/>
      <c r="AD80" s="2"/>
    </row>
    <row r="81" spans="1:30" ht="11.25" customHeight="1" x14ac:dyDescent="0.15">
      <c r="A81" s="799"/>
      <c r="B81" s="666" t="s">
        <v>72</v>
      </c>
      <c r="C81" s="266">
        <f t="shared" si="0"/>
        <v>95879</v>
      </c>
      <c r="D81" s="267" t="s">
        <v>246</v>
      </c>
      <c r="E81" s="974">
        <f>'10. Food Market'!D22*'10. Food Market'!$B$12</f>
        <v>0</v>
      </c>
      <c r="F81" s="62">
        <f>'10. Food Market'!E22*'10. Food Market'!$B$12</f>
        <v>95879</v>
      </c>
      <c r="G81" s="62">
        <f>'10. Food Market'!F22*'10. Food Market'!$B$12</f>
        <v>95879</v>
      </c>
      <c r="H81" s="973">
        <f>'10. Food Market'!G22*'10. Food Market'!$B$12</f>
        <v>95879</v>
      </c>
      <c r="I81" s="973">
        <f>'10. Food Market'!H22*'10. Food Market'!$B$12</f>
        <v>95879</v>
      </c>
      <c r="J81" s="973">
        <f>'10. Food Market'!I22*'10. Food Market'!$B$12</f>
        <v>95879</v>
      </c>
      <c r="K81" s="972">
        <f>'10. Food Market'!J22*'10. Food Market'!$B$12</f>
        <v>95879</v>
      </c>
      <c r="L81" s="972">
        <f>'10. Food Market'!K22*'10. Food Market'!$B$12</f>
        <v>95879</v>
      </c>
      <c r="M81" s="972">
        <f>'10. Food Market'!L22*'10. Food Market'!$B$12</f>
        <v>95879</v>
      </c>
      <c r="N81" s="1016">
        <f>'10. Food Market'!M22*'10. Food Market'!$B$12</f>
        <v>95879</v>
      </c>
      <c r="O81" s="701"/>
      <c r="P81" s="701"/>
      <c r="Q81" s="710"/>
      <c r="R81" s="710"/>
      <c r="S81" s="710"/>
      <c r="T81" s="710"/>
      <c r="U81" s="7"/>
      <c r="V81" s="7"/>
      <c r="W81" s="7"/>
      <c r="X81" s="7"/>
      <c r="Y81" s="7"/>
      <c r="Z81" s="7"/>
      <c r="AA81" s="7"/>
      <c r="AB81" s="7"/>
      <c r="AC81" s="2"/>
      <c r="AD81" s="2"/>
    </row>
    <row r="82" spans="1:30" ht="11.25" customHeight="1" x14ac:dyDescent="0.15">
      <c r="A82" s="798" t="s">
        <v>67</v>
      </c>
      <c r="B82" s="671"/>
      <c r="C82" s="266">
        <f t="shared" si="0"/>
        <v>145256</v>
      </c>
      <c r="D82" s="267" t="s">
        <v>246</v>
      </c>
      <c r="E82" s="974">
        <f>'2. Hotel'!D26*'2. Hotel'!$B$9</f>
        <v>145256</v>
      </c>
      <c r="F82" s="62">
        <f>'2. Hotel'!E26*'2. Hotel'!$B$9</f>
        <v>145256</v>
      </c>
      <c r="G82" s="62">
        <f>'2. Hotel'!F26*'2. Hotel'!$B$9</f>
        <v>145256</v>
      </c>
      <c r="H82" s="973">
        <f>'2. Hotel'!G26*'2. Hotel'!$B$9</f>
        <v>145256</v>
      </c>
      <c r="I82" s="973">
        <f>'2. Hotel'!H26*'2. Hotel'!$B$9</f>
        <v>145256</v>
      </c>
      <c r="J82" s="973">
        <f>'2. Hotel'!I26*'2. Hotel'!$B$9</f>
        <v>145256</v>
      </c>
      <c r="K82" s="972">
        <f>'2. Hotel'!J26*'2. Hotel'!$B$9</f>
        <v>145256</v>
      </c>
      <c r="L82" s="972">
        <f>'2. Hotel'!K26*'2. Hotel'!$B$9</f>
        <v>145256</v>
      </c>
      <c r="M82" s="972">
        <f>'2. Hotel'!L26*'2. Hotel'!$B$9</f>
        <v>145256</v>
      </c>
      <c r="N82" s="1016">
        <f>'2. Hotel'!M26*'2. Hotel'!$B$9</f>
        <v>145256</v>
      </c>
      <c r="O82" s="701"/>
      <c r="P82" s="701"/>
      <c r="Q82" s="710"/>
      <c r="R82" s="710"/>
      <c r="S82" s="710"/>
      <c r="T82" s="710"/>
      <c r="U82" s="7"/>
      <c r="V82" s="7"/>
      <c r="W82" s="7"/>
      <c r="X82" s="7"/>
      <c r="Y82" s="7"/>
      <c r="Z82" s="7"/>
      <c r="AA82" s="7"/>
      <c r="AB82" s="7"/>
      <c r="AC82" s="2"/>
      <c r="AD82" s="2"/>
    </row>
    <row r="83" spans="1:30" ht="11.25" customHeight="1" x14ac:dyDescent="0.15">
      <c r="A83" s="798" t="s">
        <v>91</v>
      </c>
      <c r="B83" s="671"/>
      <c r="C83" s="266">
        <f t="shared" si="0"/>
        <v>95595.499999999971</v>
      </c>
      <c r="D83" s="267" t="s">
        <v>246</v>
      </c>
      <c r="E83" s="974">
        <f>'11. Structured Parking'!D43</f>
        <v>45215.799999999996</v>
      </c>
      <c r="F83" s="62">
        <f>'11. Structured Parking'!E43</f>
        <v>51966.599999999991</v>
      </c>
      <c r="G83" s="62">
        <f>'11. Structured Parking'!F43</f>
        <v>51966.599999999991</v>
      </c>
      <c r="H83" s="973">
        <f>'11. Structured Parking'!G43</f>
        <v>51966.599999999991</v>
      </c>
      <c r="I83" s="973">
        <f>'11. Structured Parking'!H43</f>
        <v>51966.599999999991</v>
      </c>
      <c r="J83" s="973">
        <f>'11. Structured Parking'!I43</f>
        <v>51966.599999999991</v>
      </c>
      <c r="K83" s="972">
        <f>'11. Structured Parking'!J43</f>
        <v>67236.714999999982</v>
      </c>
      <c r="L83" s="972">
        <f>'11. Structured Parking'!K43</f>
        <v>75962.494999999981</v>
      </c>
      <c r="M83" s="972">
        <f>'11. Structured Parking'!L43</f>
        <v>95595.499999999971</v>
      </c>
      <c r="N83" s="1016">
        <f>'11. Structured Parking'!M43</f>
        <v>95595.499999999971</v>
      </c>
      <c r="O83" s="701"/>
      <c r="P83" s="701"/>
      <c r="Q83" s="710"/>
      <c r="R83" s="710"/>
      <c r="S83" s="710"/>
      <c r="T83" s="710"/>
      <c r="U83" s="7"/>
      <c r="V83" s="7"/>
      <c r="W83" s="7"/>
      <c r="X83" s="7"/>
      <c r="Y83" s="7"/>
      <c r="Z83" s="7"/>
      <c r="AA83" s="7"/>
      <c r="AB83" s="7"/>
      <c r="AC83" s="2"/>
      <c r="AD83" s="2"/>
    </row>
    <row r="84" spans="1:30" ht="11.25" customHeight="1" thickBot="1" x14ac:dyDescent="0.2">
      <c r="A84" s="811" t="s">
        <v>205</v>
      </c>
      <c r="B84" s="812"/>
      <c r="C84" s="813">
        <f t="shared" si="0"/>
        <v>1464040.9</v>
      </c>
      <c r="D84" s="814" t="s">
        <v>246</v>
      </c>
      <c r="E84" s="1017">
        <f>SUM(E73:E83)</f>
        <v>228139.8</v>
      </c>
      <c r="F84" s="831">
        <f>SUM(F73:F83)</f>
        <v>594168.43999999994</v>
      </c>
      <c r="G84" s="831">
        <f>SUM(G73:G83)</f>
        <v>825150.27999999991</v>
      </c>
      <c r="H84" s="1018">
        <f>SUM(H73:H83)</f>
        <v>1042195.92</v>
      </c>
      <c r="I84" s="1018">
        <f>SUM(I73:I83)</f>
        <v>1084003.3600000001</v>
      </c>
      <c r="J84" s="1018">
        <f>SUM(J73:J83)</f>
        <v>1125810.8</v>
      </c>
      <c r="K84" s="1019">
        <f>SUM(K73:K83)</f>
        <v>1334555.7150000001</v>
      </c>
      <c r="L84" s="1019">
        <f>SUM(L73:L83)</f>
        <v>1389425.095</v>
      </c>
      <c r="M84" s="1019">
        <f>SUM(M73:M83)</f>
        <v>1464040.9</v>
      </c>
      <c r="N84" s="1020">
        <f>SUM(N73:N83)</f>
        <v>1464040.9</v>
      </c>
      <c r="O84" s="701"/>
      <c r="P84" s="701"/>
      <c r="Q84" s="710"/>
      <c r="R84" s="710"/>
      <c r="S84" s="710"/>
      <c r="T84" s="710"/>
      <c r="U84" s="7"/>
      <c r="V84" s="7"/>
      <c r="W84" s="7"/>
      <c r="X84" s="7"/>
      <c r="Y84" s="7"/>
      <c r="Z84" s="7"/>
      <c r="AA84" s="7"/>
      <c r="AB84" s="7"/>
      <c r="AC84" s="2"/>
      <c r="AD84" s="2"/>
    </row>
    <row r="85" spans="1:30" ht="11.25" customHeight="1" x14ac:dyDescent="0.15">
      <c r="A85" s="815"/>
      <c r="B85" s="675"/>
      <c r="C85" s="758"/>
      <c r="D85" s="816"/>
      <c r="E85" s="817"/>
      <c r="F85" s="743"/>
      <c r="G85" s="743"/>
      <c r="H85" s="743"/>
      <c r="I85" s="743"/>
      <c r="J85" s="743"/>
      <c r="K85" s="743"/>
      <c r="L85" s="743"/>
      <c r="M85" s="743"/>
      <c r="N85" s="743"/>
      <c r="O85" s="701"/>
      <c r="P85" s="701"/>
      <c r="Q85" s="710"/>
      <c r="R85" s="710"/>
      <c r="S85" s="710"/>
      <c r="T85" s="710"/>
      <c r="U85" s="7"/>
      <c r="V85" s="7"/>
      <c r="W85" s="7"/>
      <c r="X85" s="7"/>
      <c r="Y85" s="7"/>
      <c r="Z85" s="7"/>
      <c r="AA85" s="7"/>
      <c r="AB85" s="7"/>
      <c r="AC85" s="2"/>
      <c r="AD85" s="2"/>
    </row>
    <row r="86" spans="1:30" ht="11.25" customHeight="1" x14ac:dyDescent="0.15">
      <c r="A86" s="719"/>
      <c r="B86" s="719"/>
      <c r="C86" s="719"/>
      <c r="D86" s="719"/>
      <c r="E86" s="743"/>
      <c r="F86" s="743"/>
      <c r="G86" s="743"/>
      <c r="H86" s="743"/>
      <c r="I86" s="743"/>
      <c r="J86" s="743"/>
      <c r="K86" s="743"/>
      <c r="L86" s="743"/>
      <c r="M86" s="743"/>
      <c r="N86" s="743"/>
      <c r="O86" s="701"/>
      <c r="P86" s="701"/>
      <c r="Q86" s="710"/>
      <c r="R86" s="710"/>
      <c r="S86" s="710"/>
      <c r="T86" s="710"/>
      <c r="U86" s="7"/>
      <c r="V86" s="7"/>
      <c r="W86" s="7"/>
      <c r="X86" s="7"/>
      <c r="Y86" s="7"/>
      <c r="Z86" s="7"/>
      <c r="AA86" s="7"/>
      <c r="AB86" s="7"/>
      <c r="AC86" s="2"/>
      <c r="AD86" s="2"/>
    </row>
    <row r="87" spans="1:30" ht="11.25" customHeight="1" thickBot="1" x14ac:dyDescent="0.2">
      <c r="A87" s="7"/>
      <c r="B87" s="7"/>
      <c r="C87" s="16"/>
      <c r="D87" s="16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2"/>
      <c r="R87" s="2"/>
      <c r="S87" s="2"/>
      <c r="T87" s="2"/>
      <c r="U87" s="7"/>
      <c r="V87" s="7"/>
      <c r="W87" s="7"/>
      <c r="X87" s="7"/>
      <c r="Y87" s="7"/>
      <c r="Z87" s="7"/>
      <c r="AA87" s="7"/>
      <c r="AB87" s="7"/>
      <c r="AC87" s="2"/>
      <c r="AD87" s="2"/>
    </row>
    <row r="88" spans="1:30" ht="11.25" customHeight="1" x14ac:dyDescent="0.15">
      <c r="A88" s="842" t="s">
        <v>252</v>
      </c>
      <c r="B88" s="842"/>
      <c r="C88" s="842"/>
      <c r="D88" s="842"/>
      <c r="E88" s="842"/>
      <c r="F88" s="846"/>
      <c r="G88" s="843"/>
      <c r="H88" s="732" t="s">
        <v>253</v>
      </c>
      <c r="I88" s="732"/>
      <c r="J88" s="732"/>
      <c r="K88" s="732"/>
      <c r="L88" s="732"/>
      <c r="M88" s="732"/>
      <c r="N88" s="848"/>
      <c r="P88" s="5"/>
      <c r="AB88" s="5"/>
      <c r="AC88" s="2"/>
      <c r="AD88" s="2"/>
    </row>
    <row r="89" spans="1:30" ht="11.25" customHeight="1" x14ac:dyDescent="0.15">
      <c r="A89" s="951" t="s">
        <v>106</v>
      </c>
      <c r="B89" s="161"/>
      <c r="C89" s="162" t="s">
        <v>255</v>
      </c>
      <c r="D89" s="112" t="s">
        <v>256</v>
      </c>
      <c r="E89" s="113" t="s">
        <v>257</v>
      </c>
      <c r="F89" s="801" t="s">
        <v>248</v>
      </c>
      <c r="G89" s="709"/>
      <c r="H89" s="847"/>
      <c r="I89" s="667"/>
      <c r="J89" s="667"/>
      <c r="K89" s="832" t="s">
        <v>258</v>
      </c>
      <c r="L89" s="667"/>
      <c r="M89" s="832" t="s">
        <v>259</v>
      </c>
      <c r="N89" s="833" t="s">
        <v>260</v>
      </c>
      <c r="P89" s="286"/>
      <c r="AB89" s="286"/>
      <c r="AC89" s="2"/>
      <c r="AD89" s="2"/>
    </row>
    <row r="90" spans="1:30" ht="11.25" customHeight="1" x14ac:dyDescent="0.15">
      <c r="A90" s="954" t="s">
        <v>33</v>
      </c>
      <c r="B90" s="955" t="s">
        <v>34</v>
      </c>
      <c r="C90" s="955" t="s">
        <v>261</v>
      </c>
      <c r="D90" s="711">
        <f t="shared" ref="D90:D92" si="1">F90/E90</f>
        <v>-168162.12864392964</v>
      </c>
      <c r="E90" s="287">
        <f>C61</f>
        <v>114.24631578947368</v>
      </c>
      <c r="F90" s="841">
        <f>C20</f>
        <v>-19211903.652884483</v>
      </c>
      <c r="G90" s="844"/>
      <c r="H90" s="939" t="s">
        <v>262</v>
      </c>
      <c r="I90" s="940"/>
      <c r="J90" s="834"/>
      <c r="K90" s="834"/>
      <c r="L90" s="834"/>
      <c r="M90" s="834"/>
      <c r="N90" s="836"/>
      <c r="P90" s="7"/>
      <c r="AB90" s="7"/>
      <c r="AC90" s="2"/>
      <c r="AD90" s="2"/>
    </row>
    <row r="91" spans="1:30" ht="11.25" customHeight="1" x14ac:dyDescent="0.15">
      <c r="A91" s="956"/>
      <c r="B91" s="955" t="s">
        <v>38</v>
      </c>
      <c r="C91" s="955" t="s">
        <v>261</v>
      </c>
      <c r="D91" s="711">
        <f t="shared" si="1"/>
        <v>-169364.58097982474</v>
      </c>
      <c r="E91" s="287">
        <f>C62</f>
        <v>143.74588235294118</v>
      </c>
      <c r="F91" s="841">
        <f>C21</f>
        <v>-24345461.132281065</v>
      </c>
      <c r="G91" s="844"/>
      <c r="H91" s="948" t="s">
        <v>263</v>
      </c>
      <c r="I91" s="938"/>
      <c r="J91" s="269"/>
      <c r="K91" s="777">
        <f>-N91*(C44)</f>
        <v>84647413.748516396</v>
      </c>
      <c r="L91" s="269"/>
      <c r="M91" s="276">
        <v>0.85</v>
      </c>
      <c r="N91" s="944">
        <v>0.17579719999999999</v>
      </c>
      <c r="P91" s="7"/>
      <c r="AB91" s="7"/>
      <c r="AC91" s="2"/>
      <c r="AD91" s="2"/>
    </row>
    <row r="92" spans="1:30" ht="11.25" customHeight="1" x14ac:dyDescent="0.15">
      <c r="A92" s="957" t="s">
        <v>45</v>
      </c>
      <c r="B92" s="955" t="s">
        <v>34</v>
      </c>
      <c r="C92" s="955" t="s">
        <v>261</v>
      </c>
      <c r="D92" s="711">
        <f t="shared" si="1"/>
        <v>-133972.66767055381</v>
      </c>
      <c r="E92" s="287">
        <f>C63</f>
        <v>59.241411764705887</v>
      </c>
      <c r="F92" s="841">
        <f>C22</f>
        <v>-7936729.9706873782</v>
      </c>
      <c r="G92" s="844"/>
      <c r="H92" s="949" t="s">
        <v>265</v>
      </c>
      <c r="I92" s="936"/>
      <c r="J92" s="269"/>
      <c r="K92" s="777">
        <f>K93*M92</f>
        <v>14937778.896797014</v>
      </c>
      <c r="L92" s="269"/>
      <c r="M92" s="276">
        <f>1-M91</f>
        <v>0.15000000000000002</v>
      </c>
      <c r="N92" s="941">
        <f>-K92/(C44)</f>
        <v>3.1023035294117648E-2</v>
      </c>
      <c r="P92" s="7"/>
      <c r="AB92" s="7"/>
      <c r="AC92" s="2"/>
      <c r="AD92" s="2"/>
    </row>
    <row r="93" spans="1:30" ht="11.25" customHeight="1" x14ac:dyDescent="0.15">
      <c r="A93" s="957" t="s">
        <v>51</v>
      </c>
      <c r="B93" s="955" t="s">
        <v>34</v>
      </c>
      <c r="C93" s="955" t="s">
        <v>261</v>
      </c>
      <c r="D93" s="711">
        <f t="shared" ref="D93:D94" si="2">F93/E93</f>
        <v>-104773.83918749998</v>
      </c>
      <c r="E93" s="287">
        <f>C64</f>
        <v>63.805866666666667</v>
      </c>
      <c r="F93" s="841">
        <f>C23</f>
        <v>-6685185.6133523984</v>
      </c>
      <c r="G93" s="844"/>
      <c r="H93" s="950" t="s">
        <v>267</v>
      </c>
      <c r="I93" s="937"/>
      <c r="J93" s="269"/>
      <c r="K93" s="777">
        <f>K91*100/85</f>
        <v>99585192.645313412</v>
      </c>
      <c r="L93" s="269"/>
      <c r="M93" s="276">
        <v>1</v>
      </c>
      <c r="N93" s="941">
        <f>N92+N91</f>
        <v>0.20682023529411764</v>
      </c>
      <c r="P93" s="7"/>
      <c r="AB93" s="7"/>
      <c r="AC93" s="2"/>
      <c r="AD93" s="2"/>
    </row>
    <row r="94" spans="1:30" ht="11.25" customHeight="1" x14ac:dyDescent="0.15">
      <c r="A94" s="957" t="s">
        <v>41</v>
      </c>
      <c r="B94" s="955" t="s">
        <v>34</v>
      </c>
      <c r="C94" s="955" t="s">
        <v>261</v>
      </c>
      <c r="D94" s="711">
        <f t="shared" si="2"/>
        <v>-115567.07664595974</v>
      </c>
      <c r="E94" s="287">
        <f>C65</f>
        <v>31.8645</v>
      </c>
      <c r="F94" s="841">
        <f>C24</f>
        <v>-3682487.113785184</v>
      </c>
      <c r="G94" s="844"/>
      <c r="H94" s="939" t="s">
        <v>269</v>
      </c>
      <c r="I94" s="940"/>
      <c r="J94" s="834"/>
      <c r="K94" s="834"/>
      <c r="L94" s="834"/>
      <c r="M94" s="834"/>
      <c r="N94" s="942"/>
      <c r="P94" s="7"/>
      <c r="AB94" s="7"/>
      <c r="AC94" s="2"/>
      <c r="AD94" s="2"/>
    </row>
    <row r="95" spans="1:30" ht="11.25" customHeight="1" x14ac:dyDescent="0.15">
      <c r="A95" s="958"/>
      <c r="B95" s="959" t="s">
        <v>398</v>
      </c>
      <c r="C95" s="955" t="s">
        <v>274</v>
      </c>
      <c r="D95" s="711">
        <f t="shared" ref="D95:D101" si="3">F95/E95</f>
        <v>-200.07432724122719</v>
      </c>
      <c r="E95" s="287">
        <f>C66</f>
        <v>293448.05</v>
      </c>
      <c r="F95" s="841">
        <f>C25</f>
        <v>-58711421.184</v>
      </c>
      <c r="G95" s="844"/>
      <c r="H95" s="949" t="s">
        <v>207</v>
      </c>
      <c r="I95" s="936"/>
      <c r="J95" s="269"/>
      <c r="K95" s="777">
        <f>Financing!B4</f>
        <v>164224305</v>
      </c>
      <c r="L95" s="269"/>
      <c r="M95" s="276">
        <f>K95/K97</f>
        <v>0.54203736391383084</v>
      </c>
      <c r="N95" s="941">
        <f>-K95/(C44)</f>
        <v>0.34106385195320865</v>
      </c>
      <c r="P95" s="7"/>
      <c r="AB95" s="7"/>
      <c r="AC95" s="2"/>
      <c r="AD95" s="2"/>
    </row>
    <row r="96" spans="1:30" ht="11.25" customHeight="1" x14ac:dyDescent="0.15">
      <c r="A96" s="958"/>
      <c r="B96" s="955" t="s">
        <v>60</v>
      </c>
      <c r="C96" s="955" t="s">
        <v>274</v>
      </c>
      <c r="D96" s="711">
        <f t="shared" si="3"/>
        <v>-121.87984832198188</v>
      </c>
      <c r="E96" s="287">
        <f>C67</f>
        <v>185827.85</v>
      </c>
      <c r="F96" s="841">
        <f>C27</f>
        <v>-22648670.172000002</v>
      </c>
      <c r="G96" s="844"/>
      <c r="H96" s="949" t="s">
        <v>273</v>
      </c>
      <c r="I96" s="936"/>
      <c r="J96" s="269"/>
      <c r="K96" s="777">
        <f>Financing!B28+Financing!B22+Financing!B16+Financing!B9</f>
        <v>138751681.40470695</v>
      </c>
      <c r="L96" s="269"/>
      <c r="M96" s="276">
        <f>K96/K97</f>
        <v>0.45796263608616916</v>
      </c>
      <c r="N96" s="941">
        <f>-K96/(C44)</f>
        <v>0.28816187058836235</v>
      </c>
      <c r="P96" s="7"/>
      <c r="AB96" s="7"/>
      <c r="AC96" s="2"/>
      <c r="AD96" s="2"/>
    </row>
    <row r="97" spans="1:30" ht="11.25" customHeight="1" x14ac:dyDescent="0.15">
      <c r="A97" s="958"/>
      <c r="B97" s="955" t="s">
        <v>62</v>
      </c>
      <c r="C97" s="955" t="s">
        <v>274</v>
      </c>
      <c r="D97" s="711">
        <f t="shared" si="3"/>
        <v>-146.82352941176472</v>
      </c>
      <c r="E97" s="287">
        <f>C68</f>
        <v>177681.62</v>
      </c>
      <c r="F97" s="841">
        <f>C28</f>
        <v>-26087842.560000002</v>
      </c>
      <c r="G97" s="844"/>
      <c r="H97" s="949" t="s">
        <v>267</v>
      </c>
      <c r="I97" s="936"/>
      <c r="J97" s="269"/>
      <c r="K97" s="777">
        <f>SUM(K95:L96)</f>
        <v>302975986.40470695</v>
      </c>
      <c r="L97" s="269"/>
      <c r="M97" s="276">
        <f>SUM(N95:N96)</f>
        <v>0.62922572254157094</v>
      </c>
      <c r="N97" s="941"/>
      <c r="P97" s="7"/>
      <c r="AB97" s="7"/>
      <c r="AC97" s="2"/>
      <c r="AD97" s="2"/>
    </row>
    <row r="98" spans="1:30" ht="11.25" customHeight="1" x14ac:dyDescent="0.15">
      <c r="A98" s="955"/>
      <c r="B98" s="955" t="s">
        <v>72</v>
      </c>
      <c r="C98" s="955" t="s">
        <v>278</v>
      </c>
      <c r="D98" s="711">
        <f t="shared" si="3"/>
        <v>-24000</v>
      </c>
      <c r="E98" s="666">
        <f>C69</f>
        <v>239.69749999999999</v>
      </c>
      <c r="F98" s="841">
        <f>C29</f>
        <v>-5752740</v>
      </c>
      <c r="G98" s="844"/>
      <c r="H98" s="939" t="s">
        <v>402</v>
      </c>
      <c r="I98" s="940"/>
      <c r="J98" s="834"/>
      <c r="K98" s="834"/>
      <c r="L98" s="834"/>
      <c r="M98" s="834"/>
      <c r="N98" s="942"/>
      <c r="P98" s="7"/>
      <c r="AB98" s="7"/>
      <c r="AC98" s="2"/>
      <c r="AD98" s="2"/>
    </row>
    <row r="99" spans="1:30" ht="11.25" customHeight="1" x14ac:dyDescent="0.15">
      <c r="A99" s="958"/>
      <c r="B99" s="955" t="s">
        <v>67</v>
      </c>
      <c r="C99" s="955" t="s">
        <v>279</v>
      </c>
      <c r="D99" s="896">
        <f t="shared" si="3"/>
        <v>-80481.599999999991</v>
      </c>
      <c r="E99" s="300">
        <f>C70</f>
        <v>403.48888888888888</v>
      </c>
      <c r="F99" s="899">
        <f>C30</f>
        <v>-32473431.359999996</v>
      </c>
      <c r="G99" s="844"/>
      <c r="H99" s="949" t="s">
        <v>280</v>
      </c>
      <c r="I99" s="936"/>
      <c r="J99" s="269"/>
      <c r="K99" s="777">
        <f>-(C34+C35+C31+C32)</f>
        <v>39300018</v>
      </c>
      <c r="L99" s="269"/>
      <c r="M99" s="276"/>
      <c r="N99" s="943">
        <f>-K99/(C44)</f>
        <v>8.1618951110253968E-2</v>
      </c>
      <c r="P99" s="7"/>
      <c r="AB99" s="7"/>
      <c r="AC99" s="2"/>
      <c r="AD99" s="2"/>
    </row>
    <row r="100" spans="1:30" ht="11.25" customHeight="1" x14ac:dyDescent="0.15">
      <c r="A100" s="958"/>
      <c r="B100" s="955" t="s">
        <v>91</v>
      </c>
      <c r="C100" s="955" t="s">
        <v>278</v>
      </c>
      <c r="D100" s="896">
        <f t="shared" si="3"/>
        <v>-34269.815217647374</v>
      </c>
      <c r="E100" s="300">
        <f>C71</f>
        <v>382.017</v>
      </c>
      <c r="F100" s="899">
        <f>C31</f>
        <v>-13091651.999999998</v>
      </c>
      <c r="G100" s="844"/>
      <c r="H100" s="949" t="s">
        <v>281</v>
      </c>
      <c r="I100" s="936"/>
      <c r="J100" s="269"/>
      <c r="K100" s="777">
        <f>-Financing!B51</f>
        <v>502659.49103167758</v>
      </c>
      <c r="L100" s="269"/>
      <c r="M100" s="276"/>
      <c r="N100" s="941">
        <f>-K100/(C44)</f>
        <v>1.0439318481640296E-3</v>
      </c>
      <c r="P100" s="7"/>
      <c r="AB100" s="7"/>
      <c r="AC100" s="2"/>
      <c r="AD100" s="2"/>
    </row>
    <row r="101" spans="1:30" ht="11.25" customHeight="1" x14ac:dyDescent="0.15">
      <c r="A101" s="960"/>
      <c r="B101" s="960" t="s">
        <v>396</v>
      </c>
      <c r="C101" s="955" t="s">
        <v>274</v>
      </c>
      <c r="D101" s="709">
        <f t="shared" si="3"/>
        <v>-150.69765111001374</v>
      </c>
      <c r="E101" s="300">
        <f>C84</f>
        <v>1464040.9</v>
      </c>
      <c r="F101" s="899">
        <f>SUM(F90:F100)</f>
        <v>-220627524.7589905</v>
      </c>
      <c r="G101" s="844"/>
      <c r="H101" s="949" t="s">
        <v>284</v>
      </c>
      <c r="I101" s="936"/>
      <c r="J101" s="269"/>
      <c r="K101" s="777">
        <f>0.39*K93</f>
        <v>38838225.131672233</v>
      </c>
      <c r="L101" s="945"/>
      <c r="M101" s="946"/>
      <c r="N101" s="947">
        <f>-K101/(C44)</f>
        <v>8.0659891764705879E-2</v>
      </c>
      <c r="P101" s="7"/>
      <c r="AB101" s="7"/>
      <c r="AC101" s="2"/>
      <c r="AD101" s="2"/>
    </row>
    <row r="102" spans="1:30" ht="11.25" customHeight="1" x14ac:dyDescent="0.15">
      <c r="A102" s="952" t="s">
        <v>285</v>
      </c>
      <c r="B102" s="953"/>
      <c r="C102" s="892" t="s">
        <v>255</v>
      </c>
      <c r="D102" s="112" t="s">
        <v>256</v>
      </c>
      <c r="E102" s="112" t="s">
        <v>257</v>
      </c>
      <c r="F102" s="112" t="s">
        <v>248</v>
      </c>
      <c r="G102" s="710"/>
      <c r="H102" s="849" t="s">
        <v>286</v>
      </c>
      <c r="I102" s="824"/>
      <c r="J102" s="668"/>
      <c r="K102" s="777">
        <v>240000</v>
      </c>
      <c r="L102" s="802"/>
      <c r="M102" s="825"/>
      <c r="N102" s="822">
        <f>-K102/(C44)</f>
        <v>4.984361143666894E-4</v>
      </c>
      <c r="P102" s="7"/>
      <c r="AB102" s="7"/>
      <c r="AC102" s="2"/>
      <c r="AD102" s="2"/>
    </row>
    <row r="103" spans="1:30" ht="11.25" customHeight="1" x14ac:dyDescent="0.15">
      <c r="A103" s="827"/>
      <c r="B103" s="666" t="s">
        <v>288</v>
      </c>
      <c r="C103" s="666" t="s">
        <v>274</v>
      </c>
      <c r="D103" s="711">
        <f t="shared" ref="D103:D112" si="4">F103/E103</f>
        <v>-50</v>
      </c>
      <c r="E103" s="287">
        <f>'Project Data'!E37</f>
        <v>88900</v>
      </c>
      <c r="F103" s="841">
        <f>-'Project Data'!F37</f>
        <v>-4445000</v>
      </c>
      <c r="G103" s="710"/>
      <c r="H103" s="856" t="s">
        <v>267</v>
      </c>
      <c r="I103" s="857"/>
      <c r="J103" s="858"/>
      <c r="K103" s="838">
        <f>SUM(K99:L102)</f>
        <v>78880902.62270391</v>
      </c>
      <c r="L103" s="838"/>
      <c r="M103" s="839"/>
      <c r="N103" s="840">
        <f>SUM(M99:N102)</f>
        <v>0.16382121083749057</v>
      </c>
      <c r="P103" s="7"/>
      <c r="AB103" s="7"/>
      <c r="AC103" s="2"/>
      <c r="AD103" s="2"/>
    </row>
    <row r="104" spans="1:30" ht="11.25" customHeight="1" thickBot="1" x14ac:dyDescent="0.2">
      <c r="A104" s="721"/>
      <c r="B104" s="666" t="s">
        <v>289</v>
      </c>
      <c r="C104" s="666" t="s">
        <v>274</v>
      </c>
      <c r="D104" s="711">
        <f t="shared" si="4"/>
        <v>-110</v>
      </c>
      <c r="E104" s="287">
        <f>'Project Data'!E42</f>
        <v>23835</v>
      </c>
      <c r="F104" s="841">
        <f>-'Project Data'!F42</f>
        <v>-2621850</v>
      </c>
      <c r="G104" s="709"/>
      <c r="H104" s="850" t="s">
        <v>205</v>
      </c>
      <c r="I104" s="851"/>
      <c r="J104" s="852"/>
      <c r="K104" s="853">
        <f>SUM(K103+K97+K93)</f>
        <v>481442081.67272425</v>
      </c>
      <c r="L104" s="854"/>
      <c r="M104" s="855"/>
      <c r="N104" s="837">
        <f>SUM(N93+M97+N103)</f>
        <v>0.99986716867317915</v>
      </c>
      <c r="P104" s="7"/>
      <c r="AB104" s="7"/>
      <c r="AC104" s="2"/>
      <c r="AD104" s="2"/>
    </row>
    <row r="105" spans="1:30" ht="11.25" customHeight="1" x14ac:dyDescent="0.15">
      <c r="A105" s="827"/>
      <c r="B105" s="666" t="s">
        <v>290</v>
      </c>
      <c r="C105" s="666" t="s">
        <v>274</v>
      </c>
      <c r="D105" s="711">
        <f t="shared" si="4"/>
        <v>-7</v>
      </c>
      <c r="E105" s="287">
        <f>'Project Data'!E51</f>
        <v>2540</v>
      </c>
      <c r="F105" s="841">
        <f>-'Project Data'!F51</f>
        <v>-17780</v>
      </c>
      <c r="G105" s="845"/>
      <c r="H105" s="7"/>
      <c r="P105" s="7"/>
      <c r="AB105" s="7"/>
      <c r="AC105" s="2"/>
      <c r="AD105" s="2"/>
    </row>
    <row r="106" spans="1:30" ht="11.25" customHeight="1" x14ac:dyDescent="0.15">
      <c r="A106" s="827"/>
      <c r="B106" s="301" t="s">
        <v>291</v>
      </c>
      <c r="C106" s="666" t="s">
        <v>274</v>
      </c>
      <c r="D106" s="711">
        <f t="shared" si="4"/>
        <v>-50</v>
      </c>
      <c r="E106" s="287">
        <f>'Project Data'!E49</f>
        <v>149050</v>
      </c>
      <c r="F106" s="841">
        <f>-'Project Data'!F49</f>
        <v>-7452500</v>
      </c>
      <c r="G106" s="845"/>
      <c r="H106" s="7"/>
      <c r="P106" s="7"/>
      <c r="AB106" s="7"/>
      <c r="AC106" s="2"/>
      <c r="AD106" s="2"/>
    </row>
    <row r="107" spans="1:30" ht="11.25" customHeight="1" x14ac:dyDescent="0.15">
      <c r="A107" s="827"/>
      <c r="B107" s="666" t="s">
        <v>294</v>
      </c>
      <c r="C107" s="666" t="s">
        <v>274</v>
      </c>
      <c r="D107" s="711">
        <f t="shared" si="4"/>
        <v>-50.057061340941509</v>
      </c>
      <c r="E107" s="287">
        <f>'Project Data'!E50</f>
        <v>35050</v>
      </c>
      <c r="F107" s="841">
        <f>-('Project Data'!F50+'Project Data'!F52)</f>
        <v>-1754500</v>
      </c>
      <c r="G107" s="845"/>
      <c r="H107" s="7"/>
      <c r="P107" s="7"/>
      <c r="AB107" s="7"/>
      <c r="AC107" s="2"/>
      <c r="AD107" s="2"/>
    </row>
    <row r="108" spans="1:30" ht="11.25" customHeight="1" x14ac:dyDescent="0.15">
      <c r="A108" s="828"/>
      <c r="B108" s="279" t="s">
        <v>113</v>
      </c>
      <c r="C108" s="534" t="s">
        <v>274</v>
      </c>
      <c r="D108" s="709">
        <f t="shared" si="4"/>
        <v>-10</v>
      </c>
      <c r="E108" s="300">
        <f>'Project Data'!E53</f>
        <v>696600</v>
      </c>
      <c r="F108" s="899">
        <f>-'Project Data'!F53</f>
        <v>-6966000</v>
      </c>
      <c r="G108" s="845"/>
      <c r="H108" s="7"/>
      <c r="I108" s="2"/>
      <c r="J108" s="2"/>
      <c r="K108" s="2"/>
      <c r="L108" s="2"/>
      <c r="M108" s="2"/>
      <c r="N108" s="2"/>
      <c r="O108" s="821"/>
      <c r="P108" s="743"/>
      <c r="AB108" s="7"/>
      <c r="AC108" s="2"/>
      <c r="AD108" s="2"/>
    </row>
    <row r="109" spans="1:30" ht="11.25" customHeight="1" x14ac:dyDescent="0.15">
      <c r="A109" s="808"/>
      <c r="B109" s="763" t="s">
        <v>295</v>
      </c>
      <c r="C109" s="859" t="s">
        <v>274</v>
      </c>
      <c r="D109" s="897">
        <f t="shared" si="4"/>
        <v>-9.5541927587569049</v>
      </c>
      <c r="E109" s="860">
        <f>'Project Data'!B9+'Project Data'!B10</f>
        <v>308842</v>
      </c>
      <c r="F109" s="900">
        <f>C34+C35</f>
        <v>-2950736</v>
      </c>
      <c r="G109" s="845"/>
      <c r="H109" s="7"/>
      <c r="I109" s="2"/>
      <c r="J109" s="719"/>
      <c r="K109" s="776"/>
      <c r="L109" s="776"/>
      <c r="M109" s="826"/>
      <c r="N109" s="675"/>
      <c r="O109" s="719"/>
      <c r="P109" s="7"/>
      <c r="AB109" s="7"/>
      <c r="AC109" s="2"/>
      <c r="AD109" s="2"/>
    </row>
    <row r="110" spans="1:30" ht="11.25" customHeight="1" x14ac:dyDescent="0.15">
      <c r="A110" s="808"/>
      <c r="B110" s="863" t="s">
        <v>296</v>
      </c>
      <c r="C110" s="859" t="s">
        <v>274</v>
      </c>
      <c r="D110" s="897">
        <f t="shared" si="4"/>
        <v>-246.95384210526316</v>
      </c>
      <c r="E110" s="860">
        <f>Financing!K6</f>
        <v>950000</v>
      </c>
      <c r="F110" s="900">
        <f>C36</f>
        <v>-234606150</v>
      </c>
      <c r="G110" s="709"/>
      <c r="H110" s="7"/>
      <c r="I110" s="2"/>
      <c r="J110" s="719"/>
      <c r="K110" s="776"/>
      <c r="L110" s="719"/>
      <c r="M110" s="719"/>
      <c r="N110" s="719"/>
      <c r="O110" s="719"/>
      <c r="P110" s="7"/>
      <c r="AB110" s="7"/>
      <c r="AC110" s="2"/>
      <c r="AD110" s="2"/>
    </row>
    <row r="111" spans="1:30" ht="13.5" customHeight="1" x14ac:dyDescent="0.15">
      <c r="A111" s="808"/>
      <c r="B111" s="170" t="s">
        <v>297</v>
      </c>
      <c r="C111" s="859" t="s">
        <v>274</v>
      </c>
      <c r="D111" s="897">
        <f t="shared" si="4"/>
        <v>-19.341967527675276</v>
      </c>
      <c r="E111" s="860">
        <f>Financing!K10</f>
        <v>1355000</v>
      </c>
      <c r="F111" s="900">
        <f>SUM(F103:F109)</f>
        <v>-26208366</v>
      </c>
      <c r="G111" s="709"/>
      <c r="H111" s="7"/>
      <c r="I111" s="2"/>
      <c r="J111" s="2"/>
      <c r="K111" s="302"/>
      <c r="L111" s="302"/>
      <c r="M111" s="302"/>
      <c r="N111" s="302"/>
      <c r="O111" s="2"/>
      <c r="P111" s="7"/>
      <c r="AB111" s="7"/>
      <c r="AC111" s="2"/>
      <c r="AD111" s="2"/>
    </row>
    <row r="112" spans="1:30" ht="13.5" customHeight="1" thickBot="1" x14ac:dyDescent="0.2">
      <c r="A112" s="829"/>
      <c r="B112" s="830" t="s">
        <v>170</v>
      </c>
      <c r="C112" s="861" t="s">
        <v>274</v>
      </c>
      <c r="D112" s="898">
        <f t="shared" si="4"/>
        <v>-328.84466599190677</v>
      </c>
      <c r="E112" s="862">
        <f>C84</f>
        <v>1464040.9</v>
      </c>
      <c r="F112" s="901">
        <f>F110+F111+SUM(F90:F100)</f>
        <v>-481442040.75899053</v>
      </c>
      <c r="G112" s="709"/>
      <c r="H112" s="7"/>
      <c r="I112" s="7"/>
      <c r="J112" s="7"/>
      <c r="K112" s="7"/>
      <c r="L112" s="7"/>
      <c r="M112" s="7"/>
      <c r="N112" s="7"/>
      <c r="O112" s="7"/>
      <c r="P112" s="7"/>
      <c r="AB112" s="7"/>
      <c r="AC112" s="2"/>
      <c r="AD112" s="2"/>
    </row>
    <row r="113" spans="1:30" ht="13.5" customHeight="1" x14ac:dyDescent="0.15">
      <c r="G113" s="709"/>
      <c r="H113" s="7"/>
      <c r="I113" s="7"/>
      <c r="J113" s="7"/>
      <c r="AB113" s="7"/>
      <c r="AC113" s="2"/>
      <c r="AD113" s="2"/>
    </row>
    <row r="114" spans="1:30" ht="13.5" customHeight="1" x14ac:dyDescent="0.15">
      <c r="G114" s="701"/>
      <c r="H114" s="7"/>
      <c r="I114" s="7"/>
      <c r="J114" s="7"/>
      <c r="AB114" s="7"/>
      <c r="AC114" s="2"/>
      <c r="AD114" s="2"/>
    </row>
    <row r="115" spans="1:30" ht="13.5" customHeight="1" x14ac:dyDescent="0.15">
      <c r="A115" s="7"/>
      <c r="B115" s="7"/>
      <c r="C115" s="16"/>
      <c r="D115" s="16"/>
      <c r="E115" s="7"/>
      <c r="F115" s="7"/>
      <c r="G115" s="7"/>
      <c r="H115" s="7"/>
      <c r="I115" s="7"/>
      <c r="J115" s="7"/>
      <c r="AB115" s="7"/>
      <c r="AC115" s="2"/>
      <c r="AD115" s="2"/>
    </row>
    <row r="116" spans="1:30" ht="13.5" customHeight="1" x14ac:dyDescent="0.15">
      <c r="A116" s="7"/>
      <c r="B116" s="7"/>
      <c r="C116" s="16"/>
      <c r="D116" s="16"/>
      <c r="E116" s="7"/>
      <c r="F116" s="7"/>
      <c r="G116" s="7"/>
      <c r="H116" s="7"/>
      <c r="I116" s="7"/>
      <c r="J116" s="7"/>
      <c r="AB116" s="7"/>
      <c r="AC116" s="2"/>
      <c r="AD116" s="2"/>
    </row>
    <row r="117" spans="1:30" ht="13.5" customHeight="1" x14ac:dyDescent="0.15">
      <c r="A117" s="7"/>
      <c r="B117" s="7"/>
      <c r="C117" s="16"/>
      <c r="D117" s="16"/>
      <c r="E117" s="7"/>
      <c r="F117" s="7"/>
      <c r="G117" s="7"/>
      <c r="H117" s="7"/>
      <c r="AB117" s="7"/>
      <c r="AC117" s="2"/>
      <c r="AD117" s="2"/>
    </row>
    <row r="118" spans="1:30" ht="13.5" customHeight="1" x14ac:dyDescent="0.15">
      <c r="A118" s="7"/>
      <c r="B118" s="7"/>
      <c r="C118" s="16"/>
      <c r="D118" s="16"/>
      <c r="E118" s="7"/>
      <c r="F118" s="7"/>
      <c r="G118" s="7"/>
      <c r="H118" s="7"/>
      <c r="AB118" s="7"/>
      <c r="AC118" s="2"/>
      <c r="AD118" s="2"/>
    </row>
    <row r="119" spans="1:30" ht="13.5" customHeight="1" x14ac:dyDescent="0.15">
      <c r="A119" s="7"/>
      <c r="B119" s="7"/>
      <c r="C119" s="16"/>
      <c r="D119" s="16"/>
      <c r="E119" s="7"/>
      <c r="F119" s="7"/>
      <c r="G119" s="7"/>
      <c r="H119" s="7"/>
      <c r="I119" s="7"/>
      <c r="J119" s="7"/>
      <c r="AB119" s="7"/>
      <c r="AC119" s="2"/>
      <c r="AD119" s="2"/>
    </row>
    <row r="120" spans="1:30" ht="13.5" customHeight="1" x14ac:dyDescent="0.15">
      <c r="A120" s="701"/>
      <c r="B120" s="701"/>
      <c r="C120" s="702"/>
      <c r="D120" s="702"/>
      <c r="E120" s="701"/>
      <c r="F120" s="701"/>
      <c r="G120" s="701"/>
      <c r="H120" s="701"/>
      <c r="I120" s="7"/>
      <c r="J120" s="7"/>
      <c r="AB120" s="7"/>
      <c r="AC120" s="2"/>
      <c r="AD120" s="2"/>
    </row>
    <row r="121" spans="1:30" ht="13.5" customHeight="1" x14ac:dyDescent="0.15">
      <c r="A121" s="701"/>
      <c r="B121" s="701"/>
      <c r="C121" s="702"/>
      <c r="D121" s="702"/>
      <c r="E121" s="701"/>
      <c r="F121" s="701"/>
      <c r="G121" s="701"/>
      <c r="H121" s="701"/>
      <c r="I121" s="701"/>
      <c r="J121" s="701"/>
      <c r="AB121" s="7"/>
      <c r="AC121" s="2"/>
      <c r="AD121" s="2"/>
    </row>
    <row r="122" spans="1:30" ht="13.5" customHeight="1" x14ac:dyDescent="0.15">
      <c r="A122" s="701"/>
      <c r="B122" s="703"/>
      <c r="C122" s="703"/>
      <c r="D122" s="703"/>
      <c r="E122" s="703"/>
      <c r="F122" s="703"/>
      <c r="G122" s="703"/>
      <c r="H122" s="701"/>
      <c r="I122" s="701"/>
      <c r="J122" s="701"/>
      <c r="K122" s="701"/>
      <c r="L122" s="701"/>
      <c r="M122" s="7"/>
      <c r="N122" s="7"/>
      <c r="O122" s="7"/>
      <c r="P122" s="7"/>
      <c r="AB122" s="7"/>
      <c r="AC122" s="2"/>
      <c r="AD122" s="2"/>
    </row>
    <row r="123" spans="1:30" ht="13.5" customHeight="1" x14ac:dyDescent="0.15">
      <c r="A123" s="701"/>
      <c r="B123" s="703"/>
      <c r="C123" s="703"/>
      <c r="D123" s="703"/>
      <c r="E123" s="703"/>
      <c r="F123" s="704"/>
      <c r="G123" s="705"/>
      <c r="H123" s="701"/>
      <c r="I123" s="701"/>
      <c r="J123" s="709"/>
      <c r="K123" s="701"/>
      <c r="L123" s="701"/>
      <c r="M123" s="7"/>
      <c r="N123" s="7"/>
      <c r="O123" s="7"/>
      <c r="P123" s="7"/>
      <c r="AB123" s="7"/>
      <c r="AC123" s="2"/>
      <c r="AD123" s="2"/>
    </row>
    <row r="124" spans="1:30" ht="13.5" customHeight="1" x14ac:dyDescent="0.15">
      <c r="A124" s="701"/>
      <c r="B124" s="703"/>
      <c r="C124" s="703"/>
      <c r="D124" s="703"/>
      <c r="E124" s="703"/>
      <c r="F124" s="704"/>
      <c r="G124" s="705"/>
      <c r="H124" s="701"/>
      <c r="I124" s="703"/>
      <c r="J124" s="709"/>
      <c r="K124" s="701"/>
      <c r="L124" s="701"/>
      <c r="M124" s="7"/>
      <c r="N124" s="7"/>
      <c r="O124" s="7"/>
      <c r="P124" s="7"/>
      <c r="U124" s="7"/>
      <c r="V124" s="7"/>
      <c r="W124" s="7"/>
      <c r="X124" s="7"/>
      <c r="Y124" s="7"/>
      <c r="Z124" s="7"/>
      <c r="AA124" s="7"/>
      <c r="AB124" s="7"/>
      <c r="AC124" s="2"/>
      <c r="AD124" s="2"/>
    </row>
    <row r="125" spans="1:30" ht="13.5" customHeight="1" x14ac:dyDescent="0.15">
      <c r="A125" s="701"/>
      <c r="B125" s="703"/>
      <c r="C125" s="703"/>
      <c r="D125" s="703"/>
      <c r="E125" s="703"/>
      <c r="F125" s="704"/>
      <c r="G125" s="705"/>
      <c r="H125" s="701"/>
      <c r="I125" s="703"/>
      <c r="J125" s="709"/>
      <c r="K125" s="701"/>
      <c r="L125" s="701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2"/>
      <c r="AD125" s="2"/>
    </row>
    <row r="126" spans="1:30" ht="13.5" customHeight="1" x14ac:dyDescent="0.15">
      <c r="A126" s="701"/>
      <c r="B126" s="703"/>
      <c r="C126" s="703"/>
      <c r="D126" s="703"/>
      <c r="E126" s="703"/>
      <c r="F126" s="704"/>
      <c r="G126" s="705"/>
      <c r="H126" s="701"/>
      <c r="I126" s="703"/>
      <c r="J126" s="709"/>
      <c r="K126" s="701"/>
      <c r="L126" s="701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2"/>
      <c r="AD126" s="2"/>
    </row>
    <row r="127" spans="1:30" ht="13.5" customHeight="1" x14ac:dyDescent="0.15">
      <c r="A127" s="701"/>
      <c r="B127" s="703"/>
      <c r="C127" s="703"/>
      <c r="D127" s="703"/>
      <c r="E127" s="703"/>
      <c r="F127" s="704"/>
      <c r="G127" s="705"/>
      <c r="H127" s="701"/>
      <c r="I127" s="703"/>
      <c r="J127" s="709"/>
      <c r="K127" s="701"/>
      <c r="L127" s="701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2"/>
      <c r="AD127" s="2"/>
    </row>
    <row r="128" spans="1:30" ht="13.5" customHeight="1" x14ac:dyDescent="0.15">
      <c r="A128" s="701"/>
      <c r="B128" s="702"/>
      <c r="C128" s="702"/>
      <c r="D128" s="702"/>
      <c r="E128" s="701"/>
      <c r="F128" s="706"/>
      <c r="G128" s="707"/>
      <c r="H128" s="701"/>
      <c r="I128" s="703"/>
      <c r="J128" s="709"/>
      <c r="K128" s="701"/>
      <c r="L128" s="701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2"/>
      <c r="AD128" s="2"/>
    </row>
    <row r="129" spans="1:30" ht="13.5" customHeight="1" x14ac:dyDescent="0.15">
      <c r="A129" s="701"/>
      <c r="B129" s="702"/>
      <c r="C129" s="702"/>
      <c r="D129" s="702"/>
      <c r="E129" s="701"/>
      <c r="F129" s="706"/>
      <c r="G129" s="707"/>
      <c r="H129" s="701"/>
      <c r="I129" s="703"/>
      <c r="J129" s="709"/>
      <c r="K129" s="701"/>
      <c r="L129" s="701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2"/>
      <c r="AD129" s="2"/>
    </row>
    <row r="130" spans="1:30" ht="13.5" customHeight="1" x14ac:dyDescent="0.15">
      <c r="A130" s="701"/>
      <c r="B130" s="702"/>
      <c r="C130" s="702"/>
      <c r="D130" s="702"/>
      <c r="E130" s="701"/>
      <c r="F130" s="706"/>
      <c r="G130" s="707"/>
      <c r="H130" s="701"/>
      <c r="I130" s="703"/>
      <c r="J130" s="709"/>
      <c r="K130" s="701"/>
      <c r="L130" s="701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2"/>
      <c r="AD130" s="2"/>
    </row>
    <row r="131" spans="1:30" ht="13.5" customHeight="1" x14ac:dyDescent="0.15">
      <c r="A131" s="701"/>
      <c r="B131" s="702"/>
      <c r="C131" s="702"/>
      <c r="D131" s="702"/>
      <c r="E131" s="701"/>
      <c r="F131" s="706"/>
      <c r="G131" s="707"/>
      <c r="H131" s="701"/>
      <c r="I131" s="703"/>
      <c r="J131" s="709"/>
      <c r="K131" s="701"/>
      <c r="L131" s="701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2"/>
      <c r="AD131" s="2"/>
    </row>
    <row r="132" spans="1:30" ht="13.5" customHeight="1" x14ac:dyDescent="0.15">
      <c r="A132" s="701"/>
      <c r="B132" s="702"/>
      <c r="C132" s="702"/>
      <c r="D132" s="702"/>
      <c r="E132" s="701"/>
      <c r="F132" s="706"/>
      <c r="G132" s="707"/>
      <c r="H132" s="701"/>
      <c r="I132" s="703"/>
      <c r="J132" s="709"/>
      <c r="K132" s="701"/>
      <c r="L132" s="701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2"/>
      <c r="AD132" s="2"/>
    </row>
    <row r="133" spans="1:30" ht="13.5" customHeight="1" x14ac:dyDescent="0.15">
      <c r="A133" s="701"/>
      <c r="B133" s="702"/>
      <c r="C133" s="702"/>
      <c r="D133" s="702"/>
      <c r="E133" s="701"/>
      <c r="F133" s="706"/>
      <c r="G133" s="707"/>
      <c r="H133" s="701"/>
      <c r="I133" s="703"/>
      <c r="J133" s="709"/>
      <c r="K133" s="701"/>
      <c r="L133" s="701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2"/>
      <c r="AD133" s="2"/>
    </row>
    <row r="134" spans="1:30" ht="13.5" customHeight="1" x14ac:dyDescent="0.15">
      <c r="A134" s="701"/>
      <c r="B134" s="702"/>
      <c r="C134" s="702"/>
      <c r="D134" s="702"/>
      <c r="E134" s="701"/>
      <c r="F134" s="706"/>
      <c r="G134" s="708"/>
      <c r="H134" s="701"/>
      <c r="I134" s="703"/>
      <c r="J134" s="709"/>
      <c r="K134" s="701"/>
      <c r="L134" s="701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2"/>
      <c r="AD134" s="2"/>
    </row>
    <row r="135" spans="1:30" ht="13.5" customHeight="1" x14ac:dyDescent="0.15">
      <c r="A135" s="701"/>
      <c r="B135" s="702"/>
      <c r="C135" s="702"/>
      <c r="D135" s="702"/>
      <c r="E135" s="701"/>
      <c r="F135" s="706"/>
      <c r="G135" s="708"/>
      <c r="H135" s="701"/>
      <c r="I135" s="703"/>
      <c r="J135" s="709"/>
      <c r="K135" s="701"/>
      <c r="L135" s="701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2"/>
      <c r="AD135" s="2"/>
    </row>
    <row r="136" spans="1:30" ht="13.5" customHeight="1" x14ac:dyDescent="0.15">
      <c r="A136" s="701"/>
      <c r="B136" s="702"/>
      <c r="C136" s="702"/>
      <c r="D136" s="702"/>
      <c r="E136" s="701"/>
      <c r="F136" s="706"/>
      <c r="G136" s="708"/>
      <c r="H136" s="701"/>
      <c r="I136" s="701"/>
      <c r="J136" s="709"/>
      <c r="K136" s="701"/>
      <c r="L136" s="701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2"/>
      <c r="AD136" s="2"/>
    </row>
    <row r="137" spans="1:30" ht="13.5" customHeight="1" x14ac:dyDescent="0.15">
      <c r="A137" s="701"/>
      <c r="B137" s="702"/>
      <c r="C137" s="702"/>
      <c r="D137" s="702"/>
      <c r="E137" s="701"/>
      <c r="F137" s="706"/>
      <c r="G137" s="708"/>
      <c r="H137" s="701"/>
      <c r="I137" s="703"/>
      <c r="J137" s="709"/>
      <c r="K137" s="701"/>
      <c r="L137" s="701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2"/>
      <c r="AD137" s="2"/>
    </row>
    <row r="138" spans="1:30" ht="13.5" customHeight="1" x14ac:dyDescent="0.15">
      <c r="A138" s="701"/>
      <c r="B138" s="701"/>
      <c r="C138" s="701"/>
      <c r="D138" s="702"/>
      <c r="E138" s="701"/>
      <c r="F138" s="706"/>
      <c r="G138" s="708"/>
      <c r="H138" s="701"/>
      <c r="I138" s="703"/>
      <c r="J138" s="709"/>
      <c r="K138" s="701"/>
      <c r="L138" s="701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2"/>
      <c r="AD138" s="2"/>
    </row>
    <row r="139" spans="1:30" ht="13.5" customHeight="1" x14ac:dyDescent="0.15">
      <c r="A139" s="702"/>
      <c r="B139" s="702"/>
      <c r="C139" s="702"/>
      <c r="D139" s="702"/>
      <c r="E139" s="701"/>
      <c r="F139" s="706"/>
      <c r="G139" s="707"/>
      <c r="H139" s="701"/>
      <c r="I139" s="703"/>
      <c r="J139" s="709"/>
      <c r="K139" s="701"/>
      <c r="L139" s="701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2"/>
      <c r="AD139" s="2"/>
    </row>
    <row r="140" spans="1:30" ht="13.5" customHeight="1" x14ac:dyDescent="0.15">
      <c r="A140" s="702"/>
      <c r="B140" s="702"/>
      <c r="C140" s="702"/>
      <c r="D140" s="702"/>
      <c r="E140" s="701"/>
      <c r="F140" s="706"/>
      <c r="G140" s="707"/>
      <c r="H140" s="701"/>
      <c r="I140" s="703"/>
      <c r="J140" s="709"/>
      <c r="K140" s="701"/>
      <c r="L140" s="701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2"/>
      <c r="AD140" s="2"/>
    </row>
    <row r="141" spans="1:30" ht="13.5" customHeight="1" x14ac:dyDescent="0.15">
      <c r="A141" s="701"/>
      <c r="B141" s="702"/>
      <c r="C141" s="702"/>
      <c r="D141" s="702"/>
      <c r="E141" s="701"/>
      <c r="F141" s="706"/>
      <c r="G141" s="707"/>
      <c r="H141" s="701"/>
      <c r="I141" s="703"/>
      <c r="J141" s="709"/>
      <c r="K141" s="701"/>
      <c r="L141" s="701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2"/>
      <c r="AD141" s="2"/>
    </row>
    <row r="142" spans="1:30" ht="13.5" customHeight="1" x14ac:dyDescent="0.15">
      <c r="A142" s="702"/>
      <c r="B142" s="701"/>
      <c r="C142" s="709"/>
      <c r="D142" s="702"/>
      <c r="E142" s="701"/>
      <c r="F142" s="706"/>
      <c r="G142" s="707"/>
      <c r="H142" s="701"/>
      <c r="I142" s="703"/>
      <c r="J142" s="709"/>
      <c r="K142" s="701"/>
      <c r="L142" s="701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2"/>
      <c r="AD142" s="2"/>
    </row>
    <row r="143" spans="1:30" ht="13.5" customHeight="1" x14ac:dyDescent="0.15">
      <c r="A143" s="702"/>
      <c r="B143" s="701"/>
      <c r="C143" s="701"/>
      <c r="D143" s="702"/>
      <c r="E143" s="701"/>
      <c r="F143" s="706"/>
      <c r="G143" s="707"/>
      <c r="H143" s="701"/>
      <c r="I143" s="703"/>
      <c r="J143" s="709"/>
      <c r="K143" s="701"/>
      <c r="L143" s="701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2"/>
      <c r="AD143" s="2"/>
    </row>
    <row r="144" spans="1:30" ht="13.5" customHeight="1" x14ac:dyDescent="0.15">
      <c r="A144" s="702"/>
      <c r="B144" s="701"/>
      <c r="C144" s="701"/>
      <c r="D144" s="702"/>
      <c r="E144" s="701"/>
      <c r="F144" s="706"/>
      <c r="G144" s="706"/>
      <c r="H144" s="701"/>
      <c r="I144" s="703"/>
      <c r="J144" s="709"/>
      <c r="K144" s="701"/>
      <c r="L144" s="701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2"/>
      <c r="AD144" s="2"/>
    </row>
    <row r="145" spans="1:30" ht="13.5" customHeight="1" x14ac:dyDescent="0.15">
      <c r="A145" s="702"/>
      <c r="B145" s="701"/>
      <c r="C145" s="701"/>
      <c r="D145" s="702"/>
      <c r="E145" s="701"/>
      <c r="F145" s="706"/>
      <c r="G145" s="706"/>
      <c r="H145" s="701"/>
      <c r="I145" s="703"/>
      <c r="J145" s="709"/>
      <c r="K145" s="701"/>
      <c r="L145" s="701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2"/>
      <c r="AD145" s="2"/>
    </row>
    <row r="146" spans="1:30" ht="13.5" customHeight="1" x14ac:dyDescent="0.15">
      <c r="A146" s="702"/>
      <c r="B146" s="701"/>
      <c r="C146" s="701"/>
      <c r="D146" s="702"/>
      <c r="E146" s="701"/>
      <c r="F146" s="706"/>
      <c r="G146" s="706"/>
      <c r="H146" s="701"/>
      <c r="I146" s="703"/>
      <c r="J146" s="709"/>
      <c r="K146" s="703"/>
      <c r="L146" s="701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2"/>
      <c r="AD146" s="2"/>
    </row>
    <row r="147" spans="1:30" ht="13.5" customHeight="1" x14ac:dyDescent="0.15">
      <c r="A147" s="701"/>
      <c r="B147" s="701"/>
      <c r="C147" s="702"/>
      <c r="D147" s="702"/>
      <c r="E147" s="701"/>
      <c r="F147" s="706"/>
      <c r="G147" s="706"/>
      <c r="H147" s="701"/>
      <c r="I147" s="703"/>
      <c r="J147" s="709"/>
      <c r="K147" s="701"/>
      <c r="L147" s="701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2"/>
      <c r="AD147" s="2"/>
    </row>
    <row r="148" spans="1:30" ht="13.5" customHeight="1" x14ac:dyDescent="0.15">
      <c r="A148" s="701"/>
      <c r="B148" s="701"/>
      <c r="C148" s="701"/>
      <c r="D148" s="701"/>
      <c r="E148" s="701"/>
      <c r="F148" s="706"/>
      <c r="G148" s="706"/>
      <c r="H148" s="701"/>
      <c r="I148" s="703"/>
      <c r="J148" s="709"/>
      <c r="K148" s="701"/>
      <c r="L148" s="701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2"/>
      <c r="AD148" s="2"/>
    </row>
    <row r="149" spans="1:30" ht="13.5" customHeight="1" x14ac:dyDescent="0.15">
      <c r="A149" s="701"/>
      <c r="B149" s="701"/>
      <c r="C149" s="701"/>
      <c r="D149" s="701"/>
      <c r="E149" s="701"/>
      <c r="F149" s="706"/>
      <c r="G149" s="707"/>
      <c r="H149" s="701"/>
      <c r="I149" s="701"/>
      <c r="J149" s="709"/>
      <c r="K149" s="701"/>
      <c r="L149" s="701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2"/>
      <c r="AD149" s="2"/>
    </row>
    <row r="150" spans="1:30" ht="13.5" customHeight="1" x14ac:dyDescent="0.15">
      <c r="A150" s="701"/>
      <c r="B150" s="701"/>
      <c r="C150" s="701"/>
      <c r="D150" s="701"/>
      <c r="E150" s="701"/>
      <c r="F150" s="706"/>
      <c r="G150" s="707"/>
      <c r="H150" s="701"/>
      <c r="I150" s="703"/>
      <c r="J150" s="709"/>
      <c r="K150" s="706"/>
      <c r="L150" s="701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2"/>
      <c r="AD150" s="2"/>
    </row>
    <row r="151" spans="1:30" ht="13.5" customHeight="1" x14ac:dyDescent="0.15">
      <c r="A151" s="701"/>
      <c r="B151" s="701"/>
      <c r="C151" s="701"/>
      <c r="D151" s="701"/>
      <c r="E151" s="701"/>
      <c r="F151" s="706"/>
      <c r="G151" s="707"/>
      <c r="H151" s="701"/>
      <c r="I151" s="703"/>
      <c r="J151" s="709"/>
      <c r="K151" s="701"/>
      <c r="L151" s="701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2"/>
      <c r="AD151" s="2"/>
    </row>
    <row r="152" spans="1:30" ht="13" x14ac:dyDescent="0.15">
      <c r="A152" s="701"/>
      <c r="B152" s="701"/>
      <c r="C152" s="701"/>
      <c r="D152" s="701"/>
      <c r="E152" s="701"/>
      <c r="F152" s="706"/>
      <c r="G152" s="706"/>
      <c r="H152" s="710"/>
      <c r="I152" s="703"/>
      <c r="J152" s="709"/>
      <c r="K152" s="710"/>
      <c r="L152" s="710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3" x14ac:dyDescent="0.15">
      <c r="A153" s="701"/>
      <c r="B153" s="701"/>
      <c r="C153" s="701"/>
      <c r="D153" s="701"/>
      <c r="E153" s="701"/>
      <c r="F153" s="706"/>
      <c r="G153" s="706"/>
      <c r="H153" s="710"/>
      <c r="I153" s="703"/>
      <c r="J153" s="709"/>
      <c r="K153" s="710"/>
      <c r="L153" s="710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3" x14ac:dyDescent="0.15">
      <c r="A154" s="710"/>
      <c r="B154" s="710"/>
      <c r="C154" s="710"/>
      <c r="D154" s="710"/>
      <c r="E154" s="710"/>
      <c r="F154" s="710"/>
      <c r="G154" s="710"/>
      <c r="H154" s="710"/>
      <c r="I154" s="703"/>
      <c r="J154" s="709"/>
      <c r="K154" s="710"/>
      <c r="L154" s="710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3" x14ac:dyDescent="0.15">
      <c r="A155" s="710"/>
      <c r="B155" s="710"/>
      <c r="C155" s="710"/>
      <c r="D155" s="710"/>
      <c r="E155" s="710"/>
      <c r="F155" s="710"/>
      <c r="G155" s="710"/>
      <c r="H155" s="710"/>
      <c r="I155" s="703"/>
      <c r="J155" s="709"/>
      <c r="K155" s="710"/>
      <c r="L155" s="710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3" x14ac:dyDescent="0.15">
      <c r="A156" s="2"/>
      <c r="B156" s="2"/>
      <c r="C156" s="2"/>
      <c r="D156" s="2"/>
      <c r="E156" s="2"/>
      <c r="F156" s="2"/>
      <c r="G156" s="2"/>
      <c r="H156" s="710"/>
      <c r="I156" s="703"/>
      <c r="J156" s="709"/>
      <c r="K156" s="710"/>
      <c r="L156" s="710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3" x14ac:dyDescent="0.15">
      <c r="A157" s="2"/>
      <c r="B157" s="2"/>
      <c r="C157" s="2"/>
      <c r="D157" s="2"/>
      <c r="E157" s="2"/>
      <c r="F157" s="2"/>
      <c r="G157" s="2"/>
      <c r="H157" s="710"/>
      <c r="I157" s="703"/>
      <c r="J157" s="709"/>
      <c r="K157" s="710"/>
      <c r="L157" s="710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3" x14ac:dyDescent="0.15">
      <c r="A158" s="2"/>
      <c r="B158" s="2"/>
      <c r="C158" s="2"/>
      <c r="D158" s="2"/>
      <c r="E158" s="2"/>
      <c r="F158" s="2"/>
      <c r="G158" s="2"/>
      <c r="H158" s="710"/>
      <c r="I158" s="703"/>
      <c r="J158" s="709"/>
      <c r="K158" s="710"/>
      <c r="L158" s="710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3" x14ac:dyDescent="0.15">
      <c r="A159" s="2"/>
      <c r="B159" s="2"/>
      <c r="C159" s="2"/>
      <c r="D159" s="2"/>
      <c r="E159" s="2"/>
      <c r="F159" s="2"/>
      <c r="G159" s="2"/>
      <c r="H159" s="710"/>
      <c r="I159" s="703"/>
      <c r="J159" s="709"/>
      <c r="K159" s="710"/>
      <c r="L159" s="710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3" x14ac:dyDescent="0.15">
      <c r="A160" s="2"/>
      <c r="B160" s="2"/>
      <c r="C160" s="2"/>
      <c r="D160" s="2"/>
      <c r="E160" s="2"/>
      <c r="F160" s="2"/>
      <c r="G160" s="2"/>
      <c r="H160" s="710"/>
      <c r="I160" s="703"/>
      <c r="J160" s="709"/>
      <c r="K160" s="710"/>
      <c r="L160" s="710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3" x14ac:dyDescent="0.15">
      <c r="A161" s="2"/>
      <c r="B161" s="2"/>
      <c r="C161" s="2"/>
      <c r="D161" s="2"/>
      <c r="E161" s="2"/>
      <c r="F161" s="2"/>
      <c r="G161" s="2"/>
      <c r="H161" s="710"/>
      <c r="I161" s="703"/>
      <c r="J161" s="709"/>
      <c r="K161" s="710"/>
      <c r="L161" s="710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3" x14ac:dyDescent="0.15">
      <c r="A162" s="2"/>
      <c r="B162" s="2"/>
      <c r="C162" s="2"/>
      <c r="D162" s="2"/>
      <c r="E162" s="2"/>
      <c r="F162" s="2"/>
      <c r="G162" s="2"/>
      <c r="H162" s="710"/>
      <c r="I162" s="701"/>
      <c r="J162" s="709"/>
      <c r="K162" s="710"/>
      <c r="L162" s="710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3" x14ac:dyDescent="0.15">
      <c r="A163" s="2"/>
      <c r="B163" s="2"/>
      <c r="C163" s="2"/>
      <c r="D163" s="2"/>
      <c r="E163" s="2"/>
      <c r="F163" s="2"/>
      <c r="G163" s="2"/>
      <c r="H163" s="710"/>
      <c r="I163" s="703"/>
      <c r="J163" s="709"/>
      <c r="K163" s="710"/>
      <c r="L163" s="710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3" x14ac:dyDescent="0.15">
      <c r="A164" s="2"/>
      <c r="B164" s="2"/>
      <c r="C164" s="2"/>
      <c r="D164" s="2"/>
      <c r="E164" s="2"/>
      <c r="F164" s="2"/>
      <c r="G164" s="2"/>
      <c r="H164" s="710"/>
      <c r="I164" s="703"/>
      <c r="J164" s="709"/>
      <c r="K164" s="710"/>
      <c r="L164" s="710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3" x14ac:dyDescent="0.15">
      <c r="A165" s="2"/>
      <c r="B165" s="2"/>
      <c r="C165" s="2"/>
      <c r="D165" s="2"/>
      <c r="E165" s="2"/>
      <c r="F165" s="2"/>
      <c r="G165" s="2"/>
      <c r="H165" s="710"/>
      <c r="I165" s="703"/>
      <c r="J165" s="709"/>
      <c r="K165" s="710"/>
      <c r="L165" s="710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3" x14ac:dyDescent="0.15">
      <c r="A166" s="2"/>
      <c r="B166" s="2"/>
      <c r="C166" s="2"/>
      <c r="D166" s="2"/>
      <c r="E166" s="2"/>
      <c r="F166" s="2"/>
      <c r="G166" s="2"/>
      <c r="H166" s="710"/>
      <c r="I166" s="703"/>
      <c r="J166" s="709"/>
      <c r="K166" s="710"/>
      <c r="L166" s="710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3" x14ac:dyDescent="0.15">
      <c r="A167" s="2"/>
      <c r="B167" s="2"/>
      <c r="C167" s="2"/>
      <c r="D167" s="2"/>
      <c r="E167" s="2"/>
      <c r="F167" s="2"/>
      <c r="G167" s="2"/>
      <c r="H167" s="710"/>
      <c r="I167" s="703"/>
      <c r="J167" s="709"/>
      <c r="K167" s="710"/>
      <c r="L167" s="710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3" x14ac:dyDescent="0.15">
      <c r="A168" s="2"/>
      <c r="B168" s="2"/>
      <c r="C168" s="2"/>
      <c r="D168" s="2"/>
      <c r="E168" s="2"/>
      <c r="F168" s="2"/>
      <c r="G168" s="2"/>
      <c r="H168" s="710"/>
      <c r="I168" s="703"/>
      <c r="J168" s="709"/>
      <c r="K168" s="710"/>
      <c r="L168" s="710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3" x14ac:dyDescent="0.15">
      <c r="A169" s="2"/>
      <c r="B169" s="2"/>
      <c r="C169" s="2"/>
      <c r="D169" s="2"/>
      <c r="E169" s="2"/>
      <c r="F169" s="2"/>
      <c r="G169" s="2"/>
      <c r="H169" s="710"/>
      <c r="I169" s="703"/>
      <c r="J169" s="709"/>
      <c r="K169" s="710"/>
      <c r="L169" s="710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3" x14ac:dyDescent="0.15">
      <c r="A170" s="2"/>
      <c r="B170" s="2"/>
      <c r="C170" s="2"/>
      <c r="D170" s="2"/>
      <c r="E170" s="2"/>
      <c r="F170" s="2"/>
      <c r="G170" s="2"/>
      <c r="H170" s="710"/>
      <c r="I170" s="703"/>
      <c r="J170" s="709"/>
      <c r="K170" s="710"/>
      <c r="L170" s="710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3" x14ac:dyDescent="0.15">
      <c r="A171" s="2"/>
      <c r="B171" s="2"/>
      <c r="C171" s="2"/>
      <c r="D171" s="2"/>
      <c r="E171" s="2"/>
      <c r="F171" s="2"/>
      <c r="G171" s="2"/>
      <c r="H171" s="710"/>
      <c r="I171" s="703"/>
      <c r="J171" s="709"/>
      <c r="K171" s="710"/>
      <c r="L171" s="710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3" x14ac:dyDescent="0.15">
      <c r="A172" s="2"/>
      <c r="B172" s="2"/>
      <c r="C172" s="2"/>
      <c r="D172" s="2"/>
      <c r="E172" s="2"/>
      <c r="F172" s="2"/>
      <c r="G172" s="2"/>
      <c r="H172" s="710"/>
      <c r="I172" s="703"/>
      <c r="J172" s="709"/>
      <c r="K172" s="710"/>
      <c r="L172" s="710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3" x14ac:dyDescent="0.15">
      <c r="A173" s="2"/>
      <c r="B173" s="2"/>
      <c r="C173" s="2"/>
      <c r="D173" s="2"/>
      <c r="E173" s="2"/>
      <c r="F173" s="2"/>
      <c r="G173" s="2"/>
      <c r="H173" s="710"/>
      <c r="I173" s="703"/>
      <c r="J173" s="709"/>
      <c r="K173" s="710"/>
      <c r="L173" s="710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3" x14ac:dyDescent="0.15">
      <c r="A174" s="2"/>
      <c r="B174" s="2"/>
      <c r="C174" s="2"/>
      <c r="D174" s="2"/>
      <c r="E174" s="2"/>
      <c r="F174" s="2"/>
      <c r="G174" s="2"/>
      <c r="H174" s="710"/>
      <c r="I174" s="703"/>
      <c r="J174" s="709"/>
      <c r="K174" s="710"/>
      <c r="L174" s="710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3" x14ac:dyDescent="0.15">
      <c r="A175" s="2"/>
      <c r="B175" s="2"/>
      <c r="C175" s="2"/>
      <c r="D175" s="2"/>
      <c r="E175" s="2"/>
      <c r="F175" s="2"/>
      <c r="G175" s="2"/>
      <c r="H175" s="710"/>
      <c r="I175" s="710"/>
      <c r="J175" s="709"/>
      <c r="K175" s="710"/>
      <c r="L175" s="710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3" x14ac:dyDescent="0.15">
      <c r="A176" s="2"/>
      <c r="B176" s="2"/>
      <c r="C176" s="2"/>
      <c r="D176" s="2"/>
      <c r="E176" s="2"/>
      <c r="F176" s="2"/>
      <c r="G176" s="2"/>
      <c r="H176" s="710"/>
      <c r="I176" s="710"/>
      <c r="J176" s="710"/>
      <c r="K176" s="710"/>
      <c r="L176" s="710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3" x14ac:dyDescent="0.15">
      <c r="A177" s="2"/>
      <c r="B177" s="2"/>
      <c r="C177" s="2"/>
      <c r="D177" s="2"/>
      <c r="E177" s="2"/>
      <c r="F177" s="2"/>
      <c r="G177" s="2"/>
      <c r="H177" s="710"/>
      <c r="I177" s="710"/>
      <c r="J177" s="710"/>
      <c r="K177" s="710"/>
      <c r="L177" s="710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3" x14ac:dyDescent="0.15">
      <c r="A178" s="2"/>
      <c r="B178" s="2"/>
      <c r="C178" s="2"/>
      <c r="D178" s="2"/>
      <c r="E178" s="2"/>
      <c r="F178" s="2"/>
      <c r="G178" s="2"/>
      <c r="H178" s="710"/>
      <c r="I178" s="710"/>
      <c r="J178" s="710"/>
      <c r="K178" s="710"/>
      <c r="L178" s="710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3" x14ac:dyDescent="0.15">
      <c r="A179" s="2"/>
      <c r="B179" s="2"/>
      <c r="C179" s="2"/>
      <c r="D179" s="2"/>
      <c r="E179" s="2"/>
      <c r="F179" s="2"/>
      <c r="G179" s="2"/>
      <c r="H179" s="710"/>
      <c r="I179" s="710"/>
      <c r="J179" s="710"/>
      <c r="K179" s="710"/>
      <c r="L179" s="710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3" x14ac:dyDescent="0.15">
      <c r="A180" s="2"/>
      <c r="B180" s="2"/>
      <c r="C180" s="2"/>
      <c r="D180" s="2"/>
      <c r="E180" s="2"/>
      <c r="F180" s="2"/>
      <c r="G180" s="2"/>
      <c r="H180" s="710"/>
      <c r="I180" s="710"/>
      <c r="J180" s="710"/>
      <c r="K180" s="710"/>
      <c r="L180" s="710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</sheetData>
  <mergeCells count="59">
    <mergeCell ref="H90:I90"/>
    <mergeCell ref="H98:I98"/>
    <mergeCell ref="H91:I91"/>
    <mergeCell ref="H92:I92"/>
    <mergeCell ref="H93:I93"/>
    <mergeCell ref="H95:I95"/>
    <mergeCell ref="H96:I96"/>
    <mergeCell ref="H94:I94"/>
    <mergeCell ref="A73:A74"/>
    <mergeCell ref="A82:B82"/>
    <mergeCell ref="A84:B84"/>
    <mergeCell ref="H97:I97"/>
    <mergeCell ref="H99:I99"/>
    <mergeCell ref="H100:I100"/>
    <mergeCell ref="H101:I101"/>
    <mergeCell ref="H102:I102"/>
    <mergeCell ref="M109:N109"/>
    <mergeCell ref="H103:I103"/>
    <mergeCell ref="H104:I104"/>
    <mergeCell ref="A5:N5"/>
    <mergeCell ref="M19:N19"/>
    <mergeCell ref="A57:N57"/>
    <mergeCell ref="A17:B17"/>
    <mergeCell ref="A25:B25"/>
    <mergeCell ref="A15:B15"/>
    <mergeCell ref="A16:B16"/>
    <mergeCell ref="A13:B13"/>
    <mergeCell ref="A11:B11"/>
    <mergeCell ref="A6:A7"/>
    <mergeCell ref="A20:A21"/>
    <mergeCell ref="A48:B48"/>
    <mergeCell ref="A47:B47"/>
    <mergeCell ref="A70:B70"/>
    <mergeCell ref="A71:B71"/>
    <mergeCell ref="A28:B28"/>
    <mergeCell ref="A30:B30"/>
    <mergeCell ref="A39:B39"/>
    <mergeCell ref="A38:B38"/>
    <mergeCell ref="A46:B46"/>
    <mergeCell ref="A43:B43"/>
    <mergeCell ref="A49:B49"/>
    <mergeCell ref="A68:B68"/>
    <mergeCell ref="A66:B66"/>
    <mergeCell ref="A67:B67"/>
    <mergeCell ref="A50:B50"/>
    <mergeCell ref="A83:B83"/>
    <mergeCell ref="A90:A91"/>
    <mergeCell ref="A79:B79"/>
    <mergeCell ref="A78:B78"/>
    <mergeCell ref="A80:B80"/>
    <mergeCell ref="A85:B85"/>
    <mergeCell ref="A27:B27"/>
    <mergeCell ref="A44:B44"/>
    <mergeCell ref="A41:B41"/>
    <mergeCell ref="A42:B42"/>
    <mergeCell ref="A31:B31"/>
    <mergeCell ref="A37:B37"/>
    <mergeCell ref="A35:B35"/>
    <mergeCell ref="A36:B36"/>
  </mergeCells>
  <phoneticPr fontId="24" type="noConversion"/>
  <pageMargins left="0.25" right="0.25" top="0.75" bottom="0.75" header="0.3" footer="0.3"/>
  <pageSetup paperSize="3" scale="67" orientation="portrait" horizontalDpi="0" verticalDpi="0"/>
  <rowBreaks count="1" manualBreakCount="1">
    <brk id="112" max="16383" man="1"/>
  </rowBreaks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D34" sqref="D32:D34"/>
    </sheetView>
  </sheetViews>
  <sheetFormatPr baseColWidth="10" defaultColWidth="17.33203125" defaultRowHeight="15" customHeight="1" x14ac:dyDescent="0.15"/>
  <cols>
    <col min="1" max="1" width="23.33203125" customWidth="1"/>
    <col min="2" max="13" width="11.5" customWidth="1"/>
    <col min="14" max="14" width="9.1640625" customWidth="1"/>
    <col min="15" max="15" width="27.83203125" customWidth="1"/>
    <col min="16" max="27" width="9.1640625" customWidth="1"/>
  </cols>
  <sheetData>
    <row r="1" spans="1:27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7"/>
      <c r="P1" s="7"/>
      <c r="Q1" s="7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3.5" customHeight="1" x14ac:dyDescent="0.15">
      <c r="A2" s="7"/>
      <c r="B2" s="16"/>
      <c r="C2" s="1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3.5" customHeight="1" x14ac:dyDescent="0.15">
      <c r="A3" s="7" t="s">
        <v>237</v>
      </c>
      <c r="B3" s="16"/>
      <c r="C3" s="16" t="s">
        <v>18</v>
      </c>
      <c r="D3" s="15" t="s">
        <v>19</v>
      </c>
      <c r="E3" s="17" t="s">
        <v>20</v>
      </c>
      <c r="F3" s="17"/>
      <c r="G3" s="18" t="s">
        <v>21</v>
      </c>
      <c r="H3" s="19"/>
      <c r="I3" s="18"/>
      <c r="J3" s="20" t="s">
        <v>22</v>
      </c>
      <c r="K3" s="21"/>
      <c r="L3" s="21"/>
      <c r="M3" s="21"/>
      <c r="N3" s="7"/>
      <c r="Q3" s="7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3.5" customHeight="1" x14ac:dyDescent="0.15">
      <c r="A4" s="86"/>
      <c r="B4" s="27" t="s">
        <v>25</v>
      </c>
      <c r="C4" s="27" t="s">
        <v>24</v>
      </c>
      <c r="D4" s="470">
        <v>2019</v>
      </c>
      <c r="E4" s="29">
        <f t="shared" ref="E4:M4" si="0">D4+1</f>
        <v>2020</v>
      </c>
      <c r="F4" s="29">
        <f t="shared" si="0"/>
        <v>2021</v>
      </c>
      <c r="G4" s="31">
        <f t="shared" si="0"/>
        <v>2022</v>
      </c>
      <c r="H4" s="31">
        <f t="shared" si="0"/>
        <v>2023</v>
      </c>
      <c r="I4" s="31">
        <f t="shared" si="0"/>
        <v>2024</v>
      </c>
      <c r="J4" s="33">
        <f t="shared" si="0"/>
        <v>2025</v>
      </c>
      <c r="K4" s="33">
        <f t="shared" si="0"/>
        <v>2026</v>
      </c>
      <c r="L4" s="33">
        <f t="shared" si="0"/>
        <v>2027</v>
      </c>
      <c r="M4" s="33">
        <f t="shared" si="0"/>
        <v>2028</v>
      </c>
      <c r="N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8" customHeight="1" x14ac:dyDescent="0.15">
      <c r="A5" s="273" t="s">
        <v>302</v>
      </c>
      <c r="B5" s="16"/>
      <c r="C5" s="16"/>
      <c r="D5" s="69"/>
      <c r="E5" s="81"/>
      <c r="F5" s="81"/>
      <c r="G5" s="61"/>
      <c r="H5" s="61"/>
      <c r="I5" s="61"/>
      <c r="J5" s="43"/>
      <c r="K5" s="43"/>
      <c r="L5" s="43"/>
      <c r="M5" s="43"/>
      <c r="N5" s="7"/>
      <c r="Q5" s="7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2.75" customHeight="1" x14ac:dyDescent="0.15">
      <c r="A6" s="1" t="s">
        <v>244</v>
      </c>
      <c r="B6" s="44">
        <v>0.03</v>
      </c>
      <c r="C6" s="44"/>
      <c r="D6" s="71"/>
      <c r="E6" s="82"/>
      <c r="F6" s="82"/>
      <c r="G6" s="65"/>
      <c r="H6" s="65"/>
      <c r="I6" s="65"/>
      <c r="J6" s="47"/>
      <c r="K6" s="47"/>
      <c r="L6" s="47"/>
      <c r="M6" s="47"/>
      <c r="N6" s="7"/>
      <c r="Q6" s="7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3.5" customHeight="1" x14ac:dyDescent="0.15">
      <c r="A7" s="1" t="s">
        <v>61</v>
      </c>
      <c r="B7" s="471">
        <v>0.08</v>
      </c>
      <c r="C7" s="280"/>
      <c r="D7" s="472"/>
      <c r="E7" s="473"/>
      <c r="F7" s="473"/>
      <c r="G7" s="474"/>
      <c r="H7" s="474"/>
      <c r="I7" s="474"/>
      <c r="J7" s="475"/>
      <c r="K7" s="475"/>
      <c r="L7" s="475"/>
      <c r="M7" s="475"/>
      <c r="N7" s="7"/>
      <c r="Q7" s="7" t="s">
        <v>341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3.5" customHeight="1" x14ac:dyDescent="0.15">
      <c r="A8" s="1" t="s">
        <v>303</v>
      </c>
      <c r="B8" s="267">
        <f>'Project Data'!C19</f>
        <v>850</v>
      </c>
      <c r="C8" s="267"/>
      <c r="D8" s="472"/>
      <c r="E8" s="473"/>
      <c r="F8" s="473"/>
      <c r="G8" s="474"/>
      <c r="H8" s="474"/>
      <c r="I8" s="474"/>
      <c r="J8" s="475"/>
      <c r="K8" s="475"/>
      <c r="L8" s="475"/>
      <c r="M8" s="475"/>
      <c r="N8" s="7"/>
      <c r="Q8" s="7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3.5" customHeight="1" x14ac:dyDescent="0.15">
      <c r="A9" s="1" t="s">
        <v>304</v>
      </c>
      <c r="B9" s="44">
        <v>0.85</v>
      </c>
      <c r="C9" s="267"/>
      <c r="D9" s="472"/>
      <c r="E9" s="473"/>
      <c r="F9" s="473"/>
      <c r="G9" s="474"/>
      <c r="H9" s="474"/>
      <c r="I9" s="474"/>
      <c r="J9" s="475"/>
      <c r="K9" s="475"/>
      <c r="L9" s="475"/>
      <c r="M9" s="475"/>
      <c r="N9" s="7"/>
      <c r="Q9" s="7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3.5" customHeight="1" x14ac:dyDescent="0.15">
      <c r="A10" s="1" t="s">
        <v>342</v>
      </c>
      <c r="B10" s="476">
        <f>'Project Data'!C18*12</f>
        <v>31.200000000000003</v>
      </c>
      <c r="C10" s="267"/>
      <c r="D10" s="477">
        <f>B10</f>
        <v>31.200000000000003</v>
      </c>
      <c r="E10" s="478">
        <f t="shared" ref="E10:M10" si="1">D10*(1+$B$6)</f>
        <v>32.136000000000003</v>
      </c>
      <c r="F10" s="478">
        <f t="shared" si="1"/>
        <v>33.100080000000005</v>
      </c>
      <c r="G10" s="479">
        <f t="shared" si="1"/>
        <v>34.093082400000007</v>
      </c>
      <c r="H10" s="479">
        <f t="shared" si="1"/>
        <v>35.115874872000006</v>
      </c>
      <c r="I10" s="479">
        <f t="shared" si="1"/>
        <v>36.169351118160009</v>
      </c>
      <c r="J10" s="480">
        <f t="shared" si="1"/>
        <v>37.254431651704813</v>
      </c>
      <c r="K10" s="481">
        <f t="shared" si="1"/>
        <v>38.372064601255957</v>
      </c>
      <c r="L10" s="475">
        <f t="shared" si="1"/>
        <v>39.523226539293638</v>
      </c>
      <c r="M10" s="475">
        <f t="shared" si="1"/>
        <v>40.708923335472448</v>
      </c>
      <c r="N10" s="7"/>
      <c r="Q10" s="7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3.5" customHeight="1" x14ac:dyDescent="0.15">
      <c r="A11" s="1" t="s">
        <v>305</v>
      </c>
      <c r="B11" s="276">
        <v>0.8</v>
      </c>
      <c r="C11" s="276"/>
      <c r="D11" s="472"/>
      <c r="E11" s="473"/>
      <c r="F11" s="473"/>
      <c r="G11" s="474"/>
      <c r="H11" s="482"/>
      <c r="I11" s="482"/>
      <c r="J11" s="483"/>
      <c r="K11" s="483">
        <f>B11</f>
        <v>0.8</v>
      </c>
      <c r="L11" s="483">
        <f t="shared" ref="L11:M11" si="2">K11+4%</f>
        <v>0.84000000000000008</v>
      </c>
      <c r="M11" s="483">
        <f t="shared" si="2"/>
        <v>0.88000000000000012</v>
      </c>
      <c r="N11" s="7"/>
      <c r="Q11" s="7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8" customHeight="1" x14ac:dyDescent="0.15">
      <c r="A12" s="1" t="s">
        <v>56</v>
      </c>
      <c r="B12" s="471">
        <v>0.2</v>
      </c>
      <c r="C12" s="278"/>
      <c r="D12" s="484">
        <f t="shared" ref="D12:J12" si="3">D14*$B$12</f>
        <v>22</v>
      </c>
      <c r="E12" s="485">
        <f t="shared" si="3"/>
        <v>22.66</v>
      </c>
      <c r="F12" s="485">
        <f t="shared" si="3"/>
        <v>23.3398</v>
      </c>
      <c r="G12" s="486">
        <f t="shared" si="3"/>
        <v>24.039994000000004</v>
      </c>
      <c r="H12" s="486">
        <f t="shared" si="3"/>
        <v>24.761193820000003</v>
      </c>
      <c r="I12" s="486">
        <f t="shared" si="3"/>
        <v>25.504029634600002</v>
      </c>
      <c r="J12" s="487">
        <f t="shared" si="3"/>
        <v>26.269150523638004</v>
      </c>
      <c r="K12" s="488"/>
      <c r="L12" s="489"/>
      <c r="M12" s="490"/>
      <c r="N12" s="7"/>
      <c r="Q12" s="7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3.5" customHeight="1" x14ac:dyDescent="0.15">
      <c r="A13" s="1" t="s">
        <v>333</v>
      </c>
      <c r="B13" s="491">
        <f>'Project Data'!G135*80%</f>
        <v>50355.200000000004</v>
      </c>
      <c r="C13" s="278"/>
      <c r="D13" s="484"/>
      <c r="E13" s="492"/>
      <c r="F13" s="492"/>
      <c r="G13" s="482"/>
      <c r="H13" s="493"/>
      <c r="I13" s="493"/>
      <c r="J13" s="494"/>
      <c r="K13" s="495"/>
      <c r="L13" s="489"/>
      <c r="M13" s="489"/>
      <c r="N13" s="7"/>
      <c r="Q13" s="7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3.5" customHeight="1" x14ac:dyDescent="0.15">
      <c r="A14" s="1" t="s">
        <v>307</v>
      </c>
      <c r="B14" s="496">
        <f>'Project Data'!C22</f>
        <v>110</v>
      </c>
      <c r="C14" s="278"/>
      <c r="D14" s="484">
        <f>$B$14</f>
        <v>110</v>
      </c>
      <c r="E14" s="485">
        <f t="shared" ref="E14:J14" si="4">D14*(1+$B$6)</f>
        <v>113.3</v>
      </c>
      <c r="F14" s="485">
        <f t="shared" si="4"/>
        <v>116.699</v>
      </c>
      <c r="G14" s="486">
        <f t="shared" si="4"/>
        <v>120.19997000000001</v>
      </c>
      <c r="H14" s="486">
        <f t="shared" si="4"/>
        <v>123.80596910000001</v>
      </c>
      <c r="I14" s="486">
        <f t="shared" si="4"/>
        <v>127.52014817300001</v>
      </c>
      <c r="J14" s="487">
        <f t="shared" si="4"/>
        <v>131.34575261819001</v>
      </c>
      <c r="K14" s="488"/>
      <c r="L14" s="490"/>
      <c r="M14" s="490"/>
      <c r="N14" s="7"/>
      <c r="Q14" s="7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8" customHeight="1" x14ac:dyDescent="0.15">
      <c r="A15" s="279" t="s">
        <v>338</v>
      </c>
      <c r="B15" s="497">
        <f>'Project Data'!$C$20*12</f>
        <v>6</v>
      </c>
      <c r="C15" s="498"/>
      <c r="D15" s="499">
        <f>B15</f>
        <v>6</v>
      </c>
      <c r="E15" s="500">
        <f t="shared" ref="E15:M15" si="5">D15*(1+$B$6)</f>
        <v>6.18</v>
      </c>
      <c r="F15" s="500">
        <f t="shared" si="5"/>
        <v>6.3654000000000002</v>
      </c>
      <c r="G15" s="501">
        <f t="shared" si="5"/>
        <v>6.556362</v>
      </c>
      <c r="H15" s="501">
        <f t="shared" si="5"/>
        <v>6.7530528600000004</v>
      </c>
      <c r="I15" s="501">
        <f t="shared" si="5"/>
        <v>6.9556444458000009</v>
      </c>
      <c r="J15" s="502">
        <f t="shared" si="5"/>
        <v>7.1643137791740008</v>
      </c>
      <c r="K15" s="503">
        <f t="shared" si="5"/>
        <v>7.3792431925492208</v>
      </c>
      <c r="L15" s="504">
        <f t="shared" si="5"/>
        <v>7.6006204883256974</v>
      </c>
      <c r="M15" s="504">
        <f t="shared" si="5"/>
        <v>7.8286391029754681</v>
      </c>
      <c r="N15" s="7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8" customHeight="1" x14ac:dyDescent="0.15">
      <c r="A16" s="92" t="s">
        <v>30</v>
      </c>
      <c r="B16" s="280"/>
      <c r="C16" s="280"/>
      <c r="D16" s="505"/>
      <c r="E16" s="506"/>
      <c r="F16" s="506"/>
      <c r="G16" s="507"/>
      <c r="H16" s="507"/>
      <c r="I16" s="507"/>
      <c r="J16" s="508"/>
      <c r="K16" s="508"/>
      <c r="L16" s="508"/>
      <c r="M16" s="508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3.5" customHeight="1" x14ac:dyDescent="0.15">
      <c r="A17" s="1" t="s">
        <v>314</v>
      </c>
      <c r="B17" s="267"/>
      <c r="C17" s="267"/>
      <c r="D17" s="509"/>
      <c r="E17" s="89"/>
      <c r="F17" s="89"/>
      <c r="G17" s="510"/>
      <c r="H17" s="510"/>
      <c r="I17" s="510"/>
      <c r="J17" s="511"/>
      <c r="K17" s="511">
        <f t="shared" ref="K17:M17" si="6">K10*$B$13*$B$9*K11</f>
        <v>1313918.4314382318</v>
      </c>
      <c r="L17" s="511">
        <f t="shared" si="6"/>
        <v>1421002.7836004477</v>
      </c>
      <c r="M17" s="511">
        <f t="shared" si="6"/>
        <v>1533329.6703041024</v>
      </c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3.5" customHeight="1" x14ac:dyDescent="0.15">
      <c r="A18" s="1" t="s">
        <v>334</v>
      </c>
      <c r="B18" s="267"/>
      <c r="C18" s="267"/>
      <c r="D18" s="512"/>
      <c r="E18" s="89"/>
      <c r="F18" s="89"/>
      <c r="G18" s="510"/>
      <c r="H18" s="510"/>
      <c r="I18" s="510"/>
      <c r="J18" s="511"/>
      <c r="K18" s="511">
        <f t="shared" ref="K18:M18" si="7">K15*$B$13*K11*$B$9</f>
        <v>252676.62143042911</v>
      </c>
      <c r="L18" s="511">
        <f t="shared" si="7"/>
        <v>273269.76607700909</v>
      </c>
      <c r="M18" s="511">
        <f t="shared" si="7"/>
        <v>294871.09044309647</v>
      </c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3.5" customHeight="1" x14ac:dyDescent="0.15">
      <c r="A19" s="277" t="s">
        <v>177</v>
      </c>
      <c r="B19" s="283"/>
      <c r="C19" s="283"/>
      <c r="D19" s="513"/>
      <c r="E19" s="514"/>
      <c r="F19" s="514"/>
      <c r="G19" s="515"/>
      <c r="H19" s="515"/>
      <c r="I19" s="515"/>
      <c r="J19" s="516"/>
      <c r="K19" s="516">
        <f t="shared" ref="K19:M19" si="8">K17-(K18)</f>
        <v>1061241.8100078027</v>
      </c>
      <c r="L19" s="516">
        <f t="shared" si="8"/>
        <v>1147733.0175234387</v>
      </c>
      <c r="M19" s="516">
        <f t="shared" si="8"/>
        <v>1238458.5798610058</v>
      </c>
      <c r="N19" s="7"/>
      <c r="O19" s="7"/>
      <c r="P19" s="7"/>
      <c r="Q19" s="7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8" customHeight="1" x14ac:dyDescent="0.15">
      <c r="A20" s="92" t="s">
        <v>106</v>
      </c>
      <c r="B20" s="280"/>
      <c r="C20" s="280"/>
      <c r="D20" s="517"/>
      <c r="E20" s="518"/>
      <c r="F20" s="518"/>
      <c r="G20" s="519"/>
      <c r="H20" s="519"/>
      <c r="I20" s="519"/>
      <c r="J20" s="520"/>
      <c r="K20" s="520"/>
      <c r="L20" s="520"/>
      <c r="M20" s="520"/>
      <c r="N20" s="7"/>
      <c r="O20" s="7"/>
      <c r="P20" s="7"/>
      <c r="Q20" s="7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3.5" customHeight="1" x14ac:dyDescent="0.15">
      <c r="A21" s="1" t="s">
        <v>320</v>
      </c>
      <c r="B21" s="267"/>
      <c r="C21" s="278"/>
      <c r="D21" s="484"/>
      <c r="E21" s="492"/>
      <c r="F21" s="492"/>
      <c r="G21" s="482"/>
      <c r="H21" s="482"/>
      <c r="I21" s="482"/>
      <c r="J21" s="483">
        <v>1</v>
      </c>
      <c r="K21" s="521"/>
      <c r="L21" s="522"/>
      <c r="M21" s="522"/>
      <c r="N21" s="7"/>
      <c r="O21" s="7"/>
      <c r="P21" s="7"/>
      <c r="Q21" s="7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3.5" customHeight="1" x14ac:dyDescent="0.15">
      <c r="A22" s="1" t="s">
        <v>335</v>
      </c>
      <c r="B22" s="267"/>
      <c r="C22" s="44"/>
      <c r="D22" s="523">
        <f>D21</f>
        <v>0</v>
      </c>
      <c r="E22" s="524">
        <f t="shared" ref="E22:M22" si="9">D22+E21</f>
        <v>0</v>
      </c>
      <c r="F22" s="524">
        <f t="shared" si="9"/>
        <v>0</v>
      </c>
      <c r="G22" s="525">
        <f t="shared" si="9"/>
        <v>0</v>
      </c>
      <c r="H22" s="525">
        <f t="shared" si="9"/>
        <v>0</v>
      </c>
      <c r="I22" s="525">
        <f t="shared" si="9"/>
        <v>0</v>
      </c>
      <c r="J22" s="522">
        <f t="shared" si="9"/>
        <v>1</v>
      </c>
      <c r="K22" s="522">
        <f t="shared" si="9"/>
        <v>1</v>
      </c>
      <c r="L22" s="522">
        <f t="shared" si="9"/>
        <v>1</v>
      </c>
      <c r="M22" s="522">
        <f t="shared" si="9"/>
        <v>1</v>
      </c>
      <c r="N22" s="7"/>
      <c r="O22" s="7"/>
      <c r="P22" s="7"/>
      <c r="Q22" s="7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3.5" customHeight="1" x14ac:dyDescent="0.15">
      <c r="A23" s="1" t="s">
        <v>323</v>
      </c>
      <c r="B23" s="267"/>
      <c r="C23" s="267"/>
      <c r="D23" s="509"/>
      <c r="E23" s="526"/>
      <c r="F23" s="526"/>
      <c r="G23" s="510"/>
      <c r="H23" s="519"/>
      <c r="I23" s="519"/>
      <c r="J23" s="511">
        <f>-J14*$B$13*J21</f>
        <v>-6613941.6422394821</v>
      </c>
      <c r="K23" s="511"/>
      <c r="L23" s="527"/>
      <c r="M23" s="527"/>
      <c r="N23" s="7"/>
      <c r="O23" s="7"/>
      <c r="P23" s="7"/>
      <c r="Q23" s="7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3.5" customHeight="1" x14ac:dyDescent="0.15">
      <c r="A24" s="1" t="s">
        <v>56</v>
      </c>
      <c r="B24" s="275">
        <f>B12</f>
        <v>0.2</v>
      </c>
      <c r="C24" s="267"/>
      <c r="D24" s="509"/>
      <c r="E24" s="526"/>
      <c r="F24" s="526"/>
      <c r="G24" s="510"/>
      <c r="H24" s="519"/>
      <c r="I24" s="519"/>
      <c r="J24" s="511">
        <f>$B$24*J23</f>
        <v>-1322788.3284478965</v>
      </c>
      <c r="K24" s="511"/>
      <c r="L24" s="527"/>
      <c r="M24" s="527"/>
      <c r="N24" s="7"/>
      <c r="O24" s="7"/>
      <c r="P24" s="7"/>
      <c r="Q24" s="7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8" customHeight="1" x14ac:dyDescent="0.15">
      <c r="A25" s="277" t="s">
        <v>170</v>
      </c>
      <c r="B25" s="283"/>
      <c r="C25" s="283"/>
      <c r="D25" s="513"/>
      <c r="E25" s="514"/>
      <c r="F25" s="514"/>
      <c r="G25" s="528"/>
      <c r="H25" s="515"/>
      <c r="I25" s="515"/>
      <c r="J25" s="529">
        <f>SUM(J23:J24)</f>
        <v>-7936729.9706873782</v>
      </c>
      <c r="K25" s="529"/>
      <c r="L25" s="516"/>
      <c r="M25" s="516"/>
      <c r="N25" s="7"/>
      <c r="O25" s="7"/>
      <c r="P25" s="7"/>
      <c r="Q25" s="7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8" customHeight="1" x14ac:dyDescent="0.15">
      <c r="A26" s="92" t="s">
        <v>174</v>
      </c>
      <c r="B26" s="280"/>
      <c r="C26" s="280"/>
      <c r="D26" s="517"/>
      <c r="E26" s="518"/>
      <c r="F26" s="518"/>
      <c r="G26" s="519"/>
      <c r="H26" s="519"/>
      <c r="I26" s="519"/>
      <c r="J26" s="520"/>
      <c r="K26" s="520"/>
      <c r="L26" s="520"/>
      <c r="M26" s="520"/>
      <c r="N26" s="7"/>
      <c r="O26" s="7"/>
      <c r="P26" s="7"/>
      <c r="Q26" s="7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8" customHeight="1" x14ac:dyDescent="0.15">
      <c r="A27" s="1" t="s">
        <v>177</v>
      </c>
      <c r="B27" s="267"/>
      <c r="C27" s="267"/>
      <c r="D27" s="530">
        <f t="shared" ref="D27:M27" si="10">D19</f>
        <v>0</v>
      </c>
      <c r="E27" s="531">
        <f t="shared" si="10"/>
        <v>0</v>
      </c>
      <c r="F27" s="531">
        <f t="shared" si="10"/>
        <v>0</v>
      </c>
      <c r="G27" s="532">
        <f t="shared" si="10"/>
        <v>0</v>
      </c>
      <c r="H27" s="532">
        <f t="shared" si="10"/>
        <v>0</v>
      </c>
      <c r="I27" s="532">
        <f t="shared" si="10"/>
        <v>0</v>
      </c>
      <c r="J27" s="533">
        <f t="shared" si="10"/>
        <v>0</v>
      </c>
      <c r="K27" s="533">
        <f t="shared" si="10"/>
        <v>1061241.8100078027</v>
      </c>
      <c r="L27" s="533">
        <f t="shared" si="10"/>
        <v>1147733.0175234387</v>
      </c>
      <c r="M27" s="533">
        <f t="shared" si="10"/>
        <v>1238458.5798610058</v>
      </c>
      <c r="N27" s="7"/>
      <c r="O27" s="7"/>
      <c r="P27" s="7"/>
      <c r="Q27" s="7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8" customHeight="1" x14ac:dyDescent="0.15">
      <c r="A28" s="534" t="s">
        <v>61</v>
      </c>
      <c r="B28" s="535">
        <v>7.0000000000000007E-2</v>
      </c>
      <c r="C28" s="535"/>
      <c r="D28" s="530"/>
      <c r="E28" s="531"/>
      <c r="F28" s="531"/>
      <c r="G28" s="532"/>
      <c r="H28" s="532"/>
      <c r="I28" s="532"/>
      <c r="J28" s="533"/>
      <c r="K28" s="533"/>
      <c r="L28" s="533"/>
      <c r="M28" s="533"/>
      <c r="N28" s="7"/>
      <c r="O28" s="7"/>
      <c r="P28" s="7"/>
      <c r="Q28" s="7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2.75" customHeight="1" x14ac:dyDescent="0.15">
      <c r="A29" s="534" t="s">
        <v>324</v>
      </c>
      <c r="B29" s="535"/>
      <c r="C29" s="535"/>
      <c r="D29" s="530"/>
      <c r="E29" s="531"/>
      <c r="F29" s="531"/>
      <c r="G29" s="532"/>
      <c r="H29" s="532"/>
      <c r="I29" s="532"/>
      <c r="J29" s="533"/>
      <c r="K29" s="533"/>
      <c r="L29" s="533"/>
      <c r="M29" s="536">
        <f>M27/B28</f>
        <v>17692265.426585793</v>
      </c>
      <c r="N29" s="7"/>
      <c r="O29" s="7"/>
      <c r="P29" s="7"/>
      <c r="Q29" s="7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2.75" customHeight="1" x14ac:dyDescent="0.15">
      <c r="A30" s="534" t="s">
        <v>325</v>
      </c>
      <c r="B30" s="535">
        <v>0.03</v>
      </c>
      <c r="C30" s="535"/>
      <c r="D30" s="537"/>
      <c r="E30" s="538"/>
      <c r="F30" s="538"/>
      <c r="G30" s="539"/>
      <c r="H30" s="539"/>
      <c r="I30" s="539"/>
      <c r="J30" s="540"/>
      <c r="K30" s="540"/>
      <c r="L30" s="540"/>
      <c r="M30" s="533">
        <f>M29*B30</f>
        <v>530767.96279757377</v>
      </c>
      <c r="N30" s="7"/>
      <c r="O30" s="7"/>
      <c r="P30" s="7"/>
      <c r="Q30" s="7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2.75" customHeight="1" x14ac:dyDescent="0.15">
      <c r="A31" s="277" t="s">
        <v>170</v>
      </c>
      <c r="B31" s="283"/>
      <c r="C31" s="283"/>
      <c r="D31" s="513">
        <f t="shared" ref="D31:M31" si="11">D25</f>
        <v>0</v>
      </c>
      <c r="E31" s="514">
        <f t="shared" si="11"/>
        <v>0</v>
      </c>
      <c r="F31" s="514">
        <f t="shared" si="11"/>
        <v>0</v>
      </c>
      <c r="G31" s="515">
        <f t="shared" si="11"/>
        <v>0</v>
      </c>
      <c r="H31" s="515">
        <f t="shared" si="11"/>
        <v>0</v>
      </c>
      <c r="I31" s="515">
        <f t="shared" si="11"/>
        <v>0</v>
      </c>
      <c r="J31" s="516">
        <f t="shared" si="11"/>
        <v>-7936729.9706873782</v>
      </c>
      <c r="K31" s="516">
        <f t="shared" si="11"/>
        <v>0</v>
      </c>
      <c r="L31" s="516">
        <f t="shared" si="11"/>
        <v>0</v>
      </c>
      <c r="M31" s="516">
        <f t="shared" si="11"/>
        <v>0</v>
      </c>
      <c r="N31" s="7"/>
      <c r="O31" s="7"/>
      <c r="P31" s="7"/>
      <c r="Q31" s="7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2.75" customHeight="1" x14ac:dyDescent="0.15">
      <c r="A32" s="87" t="s">
        <v>326</v>
      </c>
      <c r="B32" s="541"/>
      <c r="C32" s="541"/>
      <c r="D32" s="927"/>
      <c r="E32" s="518"/>
      <c r="F32" s="518"/>
      <c r="G32" s="542"/>
      <c r="H32" s="542"/>
      <c r="I32" s="542"/>
      <c r="J32" s="511">
        <f t="shared" ref="J32:M32" si="12">SUM(J26:J31)</f>
        <v>-7936729.9706873782</v>
      </c>
      <c r="K32" s="511">
        <f t="shared" si="12"/>
        <v>1061241.8100078027</v>
      </c>
      <c r="L32" s="511">
        <f t="shared" si="12"/>
        <v>1147733.0175234387</v>
      </c>
      <c r="M32" s="511">
        <f t="shared" si="12"/>
        <v>19461491.969244376</v>
      </c>
      <c r="N32" s="7"/>
      <c r="O32" s="7"/>
      <c r="P32" s="7"/>
      <c r="Q32" s="7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2.75" customHeight="1" x14ac:dyDescent="0.15">
      <c r="A33" s="543" t="s">
        <v>218</v>
      </c>
      <c r="B33" s="44"/>
      <c r="C33" s="44"/>
      <c r="D33" s="928">
        <f t="array" ref="D33">NPV(B7,D32:M32)</f>
        <v>8776904.8052607849</v>
      </c>
      <c r="E33" s="514"/>
      <c r="F33" s="514"/>
      <c r="G33" s="515"/>
      <c r="H33" s="515"/>
      <c r="I33" s="515"/>
      <c r="J33" s="516"/>
      <c r="K33" s="516"/>
      <c r="L33" s="516"/>
      <c r="M33" s="516"/>
      <c r="N33" s="7"/>
      <c r="O33" s="7"/>
      <c r="P33" s="7"/>
      <c r="Q33" s="7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2.75" customHeight="1" x14ac:dyDescent="0.15">
      <c r="A34" s="281" t="s">
        <v>224</v>
      </c>
      <c r="B34" s="283"/>
      <c r="C34" s="283"/>
      <c r="D34" s="929">
        <f>IRR(D32:M32,B7)</f>
        <v>0.43144189080731232</v>
      </c>
      <c r="E34" s="514"/>
      <c r="F34" s="514"/>
      <c r="G34" s="515"/>
      <c r="H34" s="515"/>
      <c r="I34" s="515"/>
      <c r="J34" s="516"/>
      <c r="K34" s="516"/>
      <c r="L34" s="516"/>
      <c r="M34" s="516"/>
      <c r="N34" s="7"/>
      <c r="O34" s="7"/>
      <c r="P34" s="7"/>
      <c r="Q34" s="7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2.75" customHeight="1" x14ac:dyDescent="0.15">
      <c r="A35" s="281" t="s">
        <v>229</v>
      </c>
      <c r="B35" s="283"/>
      <c r="C35" s="283"/>
      <c r="D35" s="544"/>
      <c r="E35" s="545"/>
      <c r="F35" s="545"/>
      <c r="G35" s="546"/>
      <c r="H35" s="546"/>
      <c r="I35" s="546"/>
      <c r="J35" s="547"/>
      <c r="K35" s="547"/>
      <c r="L35" s="547"/>
      <c r="M35" s="547"/>
      <c r="N35" s="7"/>
      <c r="O35" s="7"/>
      <c r="P35" s="7"/>
      <c r="Q35" s="7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2.75" customHeight="1" x14ac:dyDescent="0.15">
      <c r="A36" s="7"/>
      <c r="B36" s="16"/>
      <c r="C36" s="1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3" x14ac:dyDescent="0.1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3" x14ac:dyDescent="0.1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3" x14ac:dyDescent="0.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3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3" x14ac:dyDescent="0.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phoneticPr fontId="24" type="noConversion"/>
  <conditionalFormatting sqref="C5:M21 C23:M35">
    <cfRule type="cellIs" dxfId="1" priority="1" operator="lessThan">
      <formula>0</formula>
    </cfRule>
  </conditionalFormatting>
  <pageMargins left="0.7" right="0.7" top="0.75" bottom="0.75" header="0.3" footer="0.3"/>
  <pageSetup paperSize="3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65" workbookViewId="0">
      <selection activeCell="D102" sqref="D101:D102"/>
    </sheetView>
  </sheetViews>
  <sheetFormatPr baseColWidth="10" defaultColWidth="17.33203125" defaultRowHeight="15" customHeight="1" x14ac:dyDescent="0.15"/>
  <cols>
    <col min="1" max="1" width="27.33203125" customWidth="1"/>
    <col min="2" max="3" width="8.5" customWidth="1"/>
    <col min="4" max="13" width="11.5" customWidth="1"/>
    <col min="14" max="14" width="20.5" customWidth="1"/>
    <col min="15" max="15" width="15.5" customWidth="1"/>
    <col min="16" max="16" width="20" customWidth="1"/>
    <col min="17" max="23" width="9.1640625" customWidth="1"/>
    <col min="24" max="26" width="10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7"/>
      <c r="P1" s="109"/>
      <c r="Q1" s="109"/>
      <c r="R1" s="109"/>
      <c r="S1" s="2"/>
      <c r="T1" s="109"/>
      <c r="U1" s="7"/>
      <c r="V1" s="7"/>
      <c r="W1" s="2"/>
      <c r="X1" s="2"/>
      <c r="Y1" s="2"/>
      <c r="Z1" s="2"/>
    </row>
    <row r="2" spans="1:26" ht="13.5" customHeight="1" x14ac:dyDescent="0.15">
      <c r="A2" s="11" t="s">
        <v>343</v>
      </c>
      <c r="B2" s="16"/>
      <c r="C2" s="16"/>
      <c r="D2" s="7"/>
      <c r="E2" s="7"/>
      <c r="F2" s="7"/>
      <c r="G2" s="7"/>
      <c r="H2" s="7"/>
      <c r="I2" s="7"/>
      <c r="J2" s="7"/>
      <c r="K2" s="7"/>
      <c r="L2" s="548"/>
      <c r="M2" s="250"/>
      <c r="N2" s="7"/>
      <c r="O2" s="7"/>
      <c r="P2" s="109"/>
      <c r="Q2" s="109"/>
      <c r="R2" s="109"/>
      <c r="S2" s="2"/>
      <c r="T2" s="109"/>
      <c r="U2" s="7"/>
      <c r="V2" s="7"/>
      <c r="W2" s="2"/>
      <c r="X2" s="2"/>
      <c r="Y2" s="2"/>
      <c r="Z2" s="2"/>
    </row>
    <row r="3" spans="1:26" ht="13.5" customHeight="1" x14ac:dyDescent="0.15">
      <c r="A3" s="7"/>
      <c r="B3" s="16"/>
      <c r="C3" s="16" t="s">
        <v>18</v>
      </c>
      <c r="D3" s="15" t="s">
        <v>19</v>
      </c>
      <c r="E3" s="17" t="s">
        <v>20</v>
      </c>
      <c r="F3" s="17"/>
      <c r="G3" s="18" t="s">
        <v>20</v>
      </c>
      <c r="H3" s="19"/>
      <c r="I3" s="18"/>
      <c r="J3" s="20" t="s">
        <v>22</v>
      </c>
      <c r="K3" s="21"/>
      <c r="L3" s="21"/>
      <c r="M3" s="21"/>
      <c r="N3" s="7"/>
      <c r="O3" s="7"/>
      <c r="P3" s="109"/>
      <c r="Q3" s="109"/>
      <c r="R3" s="109"/>
      <c r="S3" s="2"/>
      <c r="T3" s="109"/>
      <c r="U3" s="7"/>
      <c r="V3" s="7"/>
      <c r="W3" s="2"/>
      <c r="X3" s="2"/>
      <c r="Y3" s="2"/>
      <c r="Z3" s="2"/>
    </row>
    <row r="4" spans="1:26" ht="13.5" customHeight="1" x14ac:dyDescent="0.15">
      <c r="A4" s="86"/>
      <c r="B4" s="27" t="s">
        <v>25</v>
      </c>
      <c r="C4" s="27" t="s">
        <v>24</v>
      </c>
      <c r="D4" s="470">
        <v>2019</v>
      </c>
      <c r="E4" s="29">
        <f t="shared" ref="E4:M4" si="0">D4+1</f>
        <v>2020</v>
      </c>
      <c r="F4" s="29">
        <f t="shared" si="0"/>
        <v>2021</v>
      </c>
      <c r="G4" s="31">
        <f t="shared" si="0"/>
        <v>2022</v>
      </c>
      <c r="H4" s="31">
        <f t="shared" si="0"/>
        <v>2023</v>
      </c>
      <c r="I4" s="31">
        <f t="shared" si="0"/>
        <v>2024</v>
      </c>
      <c r="J4" s="33">
        <f t="shared" si="0"/>
        <v>2025</v>
      </c>
      <c r="K4" s="33">
        <f t="shared" si="0"/>
        <v>2026</v>
      </c>
      <c r="L4" s="33">
        <f t="shared" si="0"/>
        <v>2027</v>
      </c>
      <c r="M4" s="33">
        <f t="shared" si="0"/>
        <v>2028</v>
      </c>
      <c r="N4" s="7"/>
      <c r="O4" s="7"/>
      <c r="P4" s="109"/>
      <c r="Q4" s="7"/>
      <c r="R4" s="7"/>
      <c r="S4" s="2"/>
      <c r="T4" s="109"/>
      <c r="U4" s="7"/>
      <c r="V4" s="7"/>
      <c r="W4" s="2"/>
      <c r="X4" s="2"/>
      <c r="Y4" s="2"/>
      <c r="Z4" s="2"/>
    </row>
    <row r="5" spans="1:26" ht="18" customHeight="1" x14ac:dyDescent="0.15">
      <c r="A5" s="92" t="s">
        <v>302</v>
      </c>
      <c r="B5" s="16"/>
      <c r="C5" s="16"/>
      <c r="D5" s="222"/>
      <c r="E5" s="224"/>
      <c r="F5" s="224"/>
      <c r="G5" s="227"/>
      <c r="H5" s="227"/>
      <c r="I5" s="227"/>
      <c r="J5" s="128"/>
      <c r="K5" s="128"/>
      <c r="L5" s="128"/>
      <c r="M5" s="128"/>
      <c r="N5" s="7"/>
      <c r="O5" s="7"/>
      <c r="P5" s="109"/>
      <c r="Q5" s="109"/>
      <c r="R5" s="109"/>
      <c r="S5" s="2"/>
      <c r="T5" s="109"/>
      <c r="U5" s="7"/>
      <c r="V5" s="7"/>
      <c r="W5" s="2"/>
      <c r="X5" s="2"/>
      <c r="Y5" s="2"/>
      <c r="Z5" s="2"/>
    </row>
    <row r="6" spans="1:26" ht="13.5" customHeight="1" x14ac:dyDescent="0.15">
      <c r="A6" s="1" t="s">
        <v>244</v>
      </c>
      <c r="B6" s="275">
        <v>3.5000000000000003E-2</v>
      </c>
      <c r="C6" s="44"/>
      <c r="D6" s="71"/>
      <c r="E6" s="82"/>
      <c r="F6" s="82"/>
      <c r="G6" s="65"/>
      <c r="H6" s="65"/>
      <c r="I6" s="65"/>
      <c r="J6" s="47"/>
      <c r="K6" s="47"/>
      <c r="L6" s="47"/>
      <c r="M6" s="47"/>
      <c r="N6" s="7"/>
      <c r="O6" s="7"/>
      <c r="P6" s="109"/>
      <c r="Q6" s="109"/>
      <c r="R6" s="109"/>
      <c r="S6" s="2"/>
      <c r="T6" s="109"/>
      <c r="U6" s="7"/>
      <c r="V6" s="7"/>
      <c r="W6" s="2"/>
      <c r="X6" s="2"/>
      <c r="Y6" s="2"/>
      <c r="Z6" s="2"/>
    </row>
    <row r="7" spans="1:26" ht="13.5" customHeight="1" x14ac:dyDescent="0.15">
      <c r="A7" s="1" t="s">
        <v>344</v>
      </c>
      <c r="B7" s="471">
        <v>0.1</v>
      </c>
      <c r="C7" s="471"/>
      <c r="D7" s="472"/>
      <c r="E7" s="473"/>
      <c r="F7" s="473"/>
      <c r="G7" s="474"/>
      <c r="H7" s="474"/>
      <c r="I7" s="474"/>
      <c r="J7" s="475"/>
      <c r="K7" s="475"/>
      <c r="L7" s="475"/>
      <c r="M7" s="475"/>
      <c r="N7" s="7"/>
      <c r="O7" s="7"/>
      <c r="P7" s="7"/>
      <c r="Q7" s="7"/>
      <c r="R7" s="7"/>
      <c r="S7" s="2"/>
      <c r="T7" s="7"/>
      <c r="U7" s="7"/>
      <c r="V7" s="7"/>
      <c r="W7" s="2"/>
      <c r="X7" s="2"/>
      <c r="Y7" s="2"/>
      <c r="Z7" s="2"/>
    </row>
    <row r="8" spans="1:26" ht="13.5" customHeight="1" x14ac:dyDescent="0.15">
      <c r="A8" s="1" t="s">
        <v>345</v>
      </c>
      <c r="B8" s="471">
        <v>0.95</v>
      </c>
      <c r="C8" s="471"/>
      <c r="D8" s="472"/>
      <c r="E8" s="473"/>
      <c r="F8" s="473"/>
      <c r="G8" s="474"/>
      <c r="H8" s="474"/>
      <c r="I8" s="474"/>
      <c r="J8" s="475"/>
      <c r="K8" s="475"/>
      <c r="L8" s="475"/>
      <c r="M8" s="475"/>
      <c r="N8" s="7"/>
      <c r="O8" s="7"/>
      <c r="P8" s="549"/>
      <c r="Q8" s="549"/>
      <c r="R8" s="549"/>
      <c r="S8" s="2"/>
      <c r="T8" s="7"/>
      <c r="U8" s="7"/>
      <c r="V8" s="7"/>
      <c r="W8" s="2"/>
      <c r="X8" s="2"/>
      <c r="Y8" s="2"/>
      <c r="Z8" s="2"/>
    </row>
    <row r="9" spans="1:26" ht="13.5" customHeight="1" x14ac:dyDescent="0.15">
      <c r="A9" s="35" t="s">
        <v>304</v>
      </c>
      <c r="B9" s="44">
        <v>0.9</v>
      </c>
      <c r="C9" s="471"/>
      <c r="D9" s="472"/>
      <c r="E9" s="473"/>
      <c r="F9" s="473"/>
      <c r="G9" s="474"/>
      <c r="H9" s="474"/>
      <c r="I9" s="474"/>
      <c r="J9" s="475"/>
      <c r="K9" s="475"/>
      <c r="L9" s="475"/>
      <c r="M9" s="475"/>
      <c r="N9" s="7"/>
      <c r="O9" s="7"/>
      <c r="P9" s="549"/>
      <c r="Q9" s="7"/>
      <c r="R9" s="7"/>
      <c r="S9" s="2"/>
      <c r="T9" s="7"/>
      <c r="U9" s="7"/>
      <c r="V9" s="7"/>
      <c r="W9" s="2"/>
      <c r="X9" s="2"/>
      <c r="Y9" s="2"/>
      <c r="Z9" s="2"/>
    </row>
    <row r="10" spans="1:26" ht="13.5" customHeight="1" x14ac:dyDescent="0.15">
      <c r="A10" s="35" t="s">
        <v>346</v>
      </c>
      <c r="B10" s="44">
        <v>0.65</v>
      </c>
      <c r="C10" s="471"/>
      <c r="D10" s="550"/>
      <c r="E10" s="551">
        <f>B10</f>
        <v>0.65</v>
      </c>
      <c r="F10" s="551">
        <f t="shared" ref="F10:M10" si="1">E10*1.05</f>
        <v>0.68250000000000011</v>
      </c>
      <c r="G10" s="552">
        <f t="shared" si="1"/>
        <v>0.71662500000000018</v>
      </c>
      <c r="H10" s="552">
        <f t="shared" si="1"/>
        <v>0.75245625000000027</v>
      </c>
      <c r="I10" s="552">
        <f t="shared" si="1"/>
        <v>0.79007906250000037</v>
      </c>
      <c r="J10" s="553">
        <f t="shared" si="1"/>
        <v>0.82958301562500047</v>
      </c>
      <c r="K10" s="553">
        <f t="shared" si="1"/>
        <v>0.87106216640625056</v>
      </c>
      <c r="L10" s="553">
        <f t="shared" si="1"/>
        <v>0.91461527472656312</v>
      </c>
      <c r="M10" s="553">
        <f t="shared" si="1"/>
        <v>0.96034603846289135</v>
      </c>
      <c r="N10" s="7"/>
      <c r="O10" s="7"/>
      <c r="P10" s="7"/>
      <c r="Q10" s="7"/>
      <c r="R10" s="2"/>
      <c r="S10" s="7"/>
      <c r="T10" s="2"/>
      <c r="U10" s="7"/>
      <c r="V10" s="7"/>
      <c r="W10" s="2"/>
      <c r="X10" s="2"/>
      <c r="Y10" s="2"/>
      <c r="Z10" s="2"/>
    </row>
    <row r="11" spans="1:26" ht="13.5" customHeight="1" x14ac:dyDescent="0.15">
      <c r="A11" s="35" t="s">
        <v>56</v>
      </c>
      <c r="B11" s="44">
        <v>0.2</v>
      </c>
      <c r="C11" s="471"/>
      <c r="D11" s="472"/>
      <c r="E11" s="473"/>
      <c r="F11" s="473"/>
      <c r="G11" s="474"/>
      <c r="H11" s="474"/>
      <c r="I11" s="474"/>
      <c r="J11" s="475"/>
      <c r="K11" s="475"/>
      <c r="L11" s="475"/>
      <c r="M11" s="475"/>
      <c r="N11" s="7"/>
      <c r="O11" s="7"/>
      <c r="P11" s="7"/>
      <c r="Q11" s="7"/>
      <c r="R11" s="2"/>
      <c r="S11" s="7"/>
      <c r="T11" s="2"/>
      <c r="U11" s="7"/>
      <c r="V11" s="7"/>
      <c r="W11" s="2"/>
      <c r="X11" s="2"/>
      <c r="Y11" s="2"/>
      <c r="Z11" s="2"/>
    </row>
    <row r="12" spans="1:26" ht="13.5" customHeight="1" x14ac:dyDescent="0.15">
      <c r="A12" s="35" t="s">
        <v>333</v>
      </c>
      <c r="B12" s="280">
        <f>'Project Data'!P144+'Project Data'!M134+'Project Data'!M135</f>
        <v>92975</v>
      </c>
      <c r="C12" s="280"/>
      <c r="D12" s="554"/>
      <c r="E12" s="555"/>
      <c r="F12" s="555"/>
      <c r="G12" s="556"/>
      <c r="H12" s="556"/>
      <c r="I12" s="556"/>
      <c r="J12" s="557"/>
      <c r="K12" s="557"/>
      <c r="L12" s="557"/>
      <c r="M12" s="557"/>
      <c r="N12" s="2"/>
      <c r="O12" s="2"/>
      <c r="P12" s="2"/>
      <c r="Q12" s="2"/>
      <c r="R12" s="2"/>
      <c r="S12" s="2"/>
      <c r="T12" s="2"/>
      <c r="U12" s="7"/>
      <c r="V12" s="7"/>
      <c r="W12" s="2"/>
      <c r="X12" s="2"/>
      <c r="Y12" s="2"/>
      <c r="Z12" s="2"/>
    </row>
    <row r="13" spans="1:26" ht="13.5" customHeight="1" x14ac:dyDescent="0.15">
      <c r="A13" s="35" t="s">
        <v>307</v>
      </c>
      <c r="B13" s="558">
        <f>'Project Data'!E73</f>
        <v>160</v>
      </c>
      <c r="C13" s="16"/>
      <c r="D13" s="559"/>
      <c r="E13" s="560"/>
      <c r="F13" s="560"/>
      <c r="G13" s="561"/>
      <c r="H13" s="561"/>
      <c r="I13" s="561"/>
      <c r="J13" s="562"/>
      <c r="K13" s="562"/>
      <c r="L13" s="562"/>
      <c r="M13" s="562"/>
      <c r="N13" s="2"/>
      <c r="O13" s="2"/>
      <c r="P13" s="2"/>
      <c r="Q13" s="2"/>
      <c r="R13" s="2"/>
      <c r="S13" s="2"/>
      <c r="T13" s="2"/>
      <c r="U13" s="7"/>
      <c r="V13" s="7"/>
      <c r="W13" s="2"/>
      <c r="X13" s="2"/>
      <c r="Y13" s="2"/>
      <c r="Z13" s="2"/>
    </row>
    <row r="14" spans="1:26" ht="13.5" customHeight="1" x14ac:dyDescent="0.15">
      <c r="A14" s="35" t="s">
        <v>347</v>
      </c>
      <c r="B14" s="558">
        <f>'Project Data'!E71</f>
        <v>35</v>
      </c>
      <c r="C14" s="16"/>
      <c r="D14" s="559"/>
      <c r="E14" s="560">
        <f t="shared" ref="E14:E15" si="2">B14</f>
        <v>35</v>
      </c>
      <c r="F14" s="563">
        <f t="shared" ref="F14:M14" si="3">E14*(1+$B$6)</f>
        <v>36.224999999999994</v>
      </c>
      <c r="G14" s="564">
        <f t="shared" si="3"/>
        <v>37.492874999999991</v>
      </c>
      <c r="H14" s="564">
        <f t="shared" si="3"/>
        <v>38.805125624999988</v>
      </c>
      <c r="I14" s="564">
        <f t="shared" si="3"/>
        <v>40.163305021874983</v>
      </c>
      <c r="J14" s="565">
        <f t="shared" si="3"/>
        <v>41.569020697640603</v>
      </c>
      <c r="K14" s="565">
        <f t="shared" si="3"/>
        <v>43.023936422058021</v>
      </c>
      <c r="L14" s="565">
        <f t="shared" si="3"/>
        <v>44.529774196830047</v>
      </c>
      <c r="M14" s="565">
        <f t="shared" si="3"/>
        <v>46.088316293719096</v>
      </c>
      <c r="N14" s="2"/>
      <c r="O14" s="2"/>
      <c r="P14" s="2"/>
      <c r="Q14" s="2"/>
      <c r="R14" s="2"/>
      <c r="S14" s="2"/>
      <c r="T14" s="2"/>
      <c r="U14" s="7"/>
      <c r="V14" s="7"/>
      <c r="W14" s="2"/>
      <c r="X14" s="2"/>
      <c r="Y14" s="2"/>
      <c r="Z14" s="2"/>
    </row>
    <row r="15" spans="1:26" ht="13.5" customHeight="1" x14ac:dyDescent="0.15">
      <c r="A15" s="63" t="s">
        <v>309</v>
      </c>
      <c r="B15" s="566">
        <f>'Project Data'!E72</f>
        <v>6</v>
      </c>
      <c r="C15" s="25"/>
      <c r="D15" s="567"/>
      <c r="E15" s="568">
        <f t="shared" si="2"/>
        <v>6</v>
      </c>
      <c r="F15" s="569">
        <f t="shared" ref="F15:M15" si="4">E15*(1+$B$6)</f>
        <v>6.2099999999999991</v>
      </c>
      <c r="G15" s="570">
        <f t="shared" si="4"/>
        <v>6.4273499999999988</v>
      </c>
      <c r="H15" s="570">
        <f t="shared" si="4"/>
        <v>6.652307249999998</v>
      </c>
      <c r="I15" s="570">
        <f t="shared" si="4"/>
        <v>6.8851380037499972</v>
      </c>
      <c r="J15" s="571">
        <f t="shared" si="4"/>
        <v>7.1261178338812465</v>
      </c>
      <c r="K15" s="571">
        <f t="shared" si="4"/>
        <v>7.3755319580670893</v>
      </c>
      <c r="L15" s="571">
        <f t="shared" si="4"/>
        <v>7.6336755765994369</v>
      </c>
      <c r="M15" s="571">
        <f t="shared" si="4"/>
        <v>7.900854221780417</v>
      </c>
      <c r="N15" s="2"/>
      <c r="O15" s="2"/>
      <c r="P15" s="2"/>
      <c r="Q15" s="2"/>
      <c r="R15" s="2"/>
      <c r="S15" s="7"/>
      <c r="T15" s="2"/>
      <c r="U15" s="7"/>
      <c r="V15" s="7"/>
      <c r="W15" s="2"/>
      <c r="X15" s="2"/>
      <c r="Y15" s="2"/>
      <c r="Z15" s="2"/>
    </row>
    <row r="16" spans="1:26" ht="13.5" customHeight="1" x14ac:dyDescent="0.15">
      <c r="A16" s="92" t="s">
        <v>30</v>
      </c>
      <c r="B16" s="16"/>
      <c r="C16" s="16"/>
      <c r="D16" s="572"/>
      <c r="E16" s="563"/>
      <c r="F16" s="563"/>
      <c r="G16" s="564"/>
      <c r="H16" s="564"/>
      <c r="I16" s="564"/>
      <c r="J16" s="565"/>
      <c r="K16" s="565"/>
      <c r="L16" s="565"/>
      <c r="M16" s="565"/>
      <c r="N16" s="2"/>
      <c r="O16" s="2"/>
      <c r="P16" s="2"/>
      <c r="Q16" s="2"/>
      <c r="R16" s="2"/>
      <c r="S16" s="7"/>
      <c r="T16" s="2"/>
      <c r="U16" s="7"/>
      <c r="V16" s="7"/>
      <c r="W16" s="2"/>
      <c r="X16" s="2"/>
      <c r="Y16" s="2"/>
      <c r="Z16" s="2"/>
    </row>
    <row r="17" spans="1:26" ht="13.5" customHeight="1" x14ac:dyDescent="0.15">
      <c r="A17" s="35" t="s">
        <v>348</v>
      </c>
      <c r="B17" s="16"/>
      <c r="C17" s="16"/>
      <c r="D17" s="572"/>
      <c r="E17" s="563"/>
      <c r="F17" s="563">
        <f t="shared" ref="F17:M17" si="5">$B$12*F14*F10*$B$9</f>
        <v>2068805.9010937503</v>
      </c>
      <c r="G17" s="564">
        <f t="shared" si="5"/>
        <v>2248274.8130136332</v>
      </c>
      <c r="H17" s="564">
        <f t="shared" si="5"/>
        <v>2443312.6530425656</v>
      </c>
      <c r="I17" s="564">
        <f t="shared" si="5"/>
        <v>2655270.025694008</v>
      </c>
      <c r="J17" s="565">
        <f t="shared" si="5"/>
        <v>2885614.7004229636</v>
      </c>
      <c r="K17" s="565">
        <f t="shared" si="5"/>
        <v>3135941.7756846552</v>
      </c>
      <c r="L17" s="565">
        <f t="shared" si="5"/>
        <v>3407984.724725299</v>
      </c>
      <c r="M17" s="565">
        <f t="shared" si="5"/>
        <v>3703627.3995952187</v>
      </c>
      <c r="N17" s="2"/>
      <c r="O17" s="2"/>
      <c r="P17" s="2"/>
      <c r="Q17" s="2"/>
      <c r="R17" s="2"/>
      <c r="S17" s="7"/>
      <c r="T17" s="2"/>
      <c r="U17" s="7"/>
      <c r="V17" s="7"/>
      <c r="W17" s="2"/>
      <c r="X17" s="2"/>
      <c r="Y17" s="2"/>
      <c r="Z17" s="2"/>
    </row>
    <row r="18" spans="1:26" ht="25.5" customHeight="1" x14ac:dyDescent="0.15">
      <c r="A18" s="573" t="s">
        <v>349</v>
      </c>
      <c r="B18" s="16"/>
      <c r="C18" s="574"/>
      <c r="D18" s="575"/>
      <c r="E18" s="563"/>
      <c r="F18" s="563">
        <f t="shared" ref="F18:M18" si="6">F15*$B$12*$B$8</f>
        <v>548506.01249999984</v>
      </c>
      <c r="G18" s="564">
        <f t="shared" si="6"/>
        <v>567703.72293749987</v>
      </c>
      <c r="H18" s="564">
        <f t="shared" si="6"/>
        <v>587573.35324031231</v>
      </c>
      <c r="I18" s="564">
        <f t="shared" si="6"/>
        <v>608138.42060372327</v>
      </c>
      <c r="J18" s="565">
        <f t="shared" si="6"/>
        <v>629423.26532485336</v>
      </c>
      <c r="K18" s="565">
        <f t="shared" si="6"/>
        <v>651453.07961122319</v>
      </c>
      <c r="L18" s="565">
        <f t="shared" si="6"/>
        <v>674253.93739761598</v>
      </c>
      <c r="M18" s="565">
        <f t="shared" si="6"/>
        <v>697852.82520653249</v>
      </c>
      <c r="N18" s="2"/>
      <c r="O18" s="2"/>
      <c r="P18" s="2"/>
      <c r="Q18" s="2"/>
      <c r="R18" s="2"/>
      <c r="S18" s="2"/>
      <c r="T18" s="2"/>
      <c r="U18" s="7"/>
      <c r="V18" s="7"/>
      <c r="W18" s="2"/>
      <c r="X18" s="2"/>
      <c r="Y18" s="2"/>
      <c r="Z18" s="2"/>
    </row>
    <row r="19" spans="1:26" ht="13.5" customHeight="1" x14ac:dyDescent="0.15">
      <c r="A19" s="277" t="s">
        <v>177</v>
      </c>
      <c r="B19" s="283"/>
      <c r="C19" s="283"/>
      <c r="D19" s="567"/>
      <c r="E19" s="568"/>
      <c r="F19" s="568">
        <f t="shared" ref="F19:M19" si="7">F17-F18</f>
        <v>1520299.8885937505</v>
      </c>
      <c r="G19" s="576">
        <f t="shared" si="7"/>
        <v>1680571.0900761334</v>
      </c>
      <c r="H19" s="576">
        <f t="shared" si="7"/>
        <v>1855739.2998022533</v>
      </c>
      <c r="I19" s="576">
        <f t="shared" si="7"/>
        <v>2047131.6050902847</v>
      </c>
      <c r="J19" s="577">
        <f t="shared" si="7"/>
        <v>2256191.4350981102</v>
      </c>
      <c r="K19" s="577">
        <f t="shared" si="7"/>
        <v>2484488.696073432</v>
      </c>
      <c r="L19" s="577">
        <f t="shared" si="7"/>
        <v>2733730.7873276831</v>
      </c>
      <c r="M19" s="577">
        <f t="shared" si="7"/>
        <v>3005774.5743886861</v>
      </c>
      <c r="N19" s="2"/>
      <c r="O19" s="2"/>
      <c r="P19" s="2"/>
      <c r="Q19" s="2"/>
      <c r="R19" s="2"/>
      <c r="S19" s="2"/>
      <c r="T19" s="2"/>
      <c r="U19" s="7"/>
      <c r="V19" s="7"/>
      <c r="W19" s="2"/>
      <c r="X19" s="2"/>
      <c r="Y19" s="2"/>
      <c r="Z19" s="2"/>
    </row>
    <row r="20" spans="1:26" ht="18" customHeight="1" x14ac:dyDescent="0.15">
      <c r="A20" s="92" t="s">
        <v>106</v>
      </c>
      <c r="B20" s="280"/>
      <c r="C20" s="280"/>
      <c r="D20" s="554"/>
      <c r="E20" s="555"/>
      <c r="F20" s="555"/>
      <c r="G20" s="556"/>
      <c r="H20" s="556"/>
      <c r="I20" s="556"/>
      <c r="J20" s="557"/>
      <c r="K20" s="557"/>
      <c r="L20" s="557"/>
      <c r="M20" s="557"/>
      <c r="N20" s="7"/>
      <c r="O20" s="279"/>
      <c r="P20" s="25"/>
      <c r="Q20" s="7"/>
      <c r="R20" s="7"/>
      <c r="S20" s="7"/>
      <c r="T20" s="7"/>
      <c r="U20" s="7"/>
      <c r="V20" s="7"/>
      <c r="W20" s="2"/>
      <c r="X20" s="2"/>
      <c r="Y20" s="2"/>
      <c r="Z20" s="2"/>
    </row>
    <row r="21" spans="1:26" ht="13.5" customHeight="1" x14ac:dyDescent="0.15">
      <c r="A21" s="1" t="s">
        <v>320</v>
      </c>
      <c r="B21" s="267"/>
      <c r="C21" s="267"/>
      <c r="D21" s="578"/>
      <c r="E21" s="579">
        <v>1</v>
      </c>
      <c r="F21" s="555"/>
      <c r="G21" s="580"/>
      <c r="H21" s="580"/>
      <c r="I21" s="580"/>
      <c r="J21" s="581"/>
      <c r="K21" s="581"/>
      <c r="L21" s="581"/>
      <c r="M21" s="581"/>
      <c r="N21" s="7"/>
      <c r="O21" s="7"/>
      <c r="P21" s="7"/>
      <c r="Q21" s="7"/>
      <c r="R21" s="7"/>
      <c r="S21" s="7"/>
      <c r="T21" s="7"/>
      <c r="U21" s="7"/>
      <c r="V21" s="7"/>
      <c r="W21" s="2"/>
      <c r="X21" s="2"/>
      <c r="Y21" s="2"/>
      <c r="Z21" s="2"/>
    </row>
    <row r="22" spans="1:26" ht="13.5" customHeight="1" x14ac:dyDescent="0.15">
      <c r="A22" s="1" t="s">
        <v>335</v>
      </c>
      <c r="B22" s="267"/>
      <c r="C22" s="44"/>
      <c r="D22" s="523">
        <f>D21</f>
        <v>0</v>
      </c>
      <c r="E22" s="524">
        <f t="shared" ref="E22:M22" si="8">D22+E21</f>
        <v>1</v>
      </c>
      <c r="F22" s="524">
        <f t="shared" si="8"/>
        <v>1</v>
      </c>
      <c r="G22" s="525">
        <f t="shared" si="8"/>
        <v>1</v>
      </c>
      <c r="H22" s="525">
        <f t="shared" si="8"/>
        <v>1</v>
      </c>
      <c r="I22" s="525">
        <f t="shared" si="8"/>
        <v>1</v>
      </c>
      <c r="J22" s="522">
        <f t="shared" si="8"/>
        <v>1</v>
      </c>
      <c r="K22" s="522">
        <f t="shared" si="8"/>
        <v>1</v>
      </c>
      <c r="L22" s="522">
        <f t="shared" si="8"/>
        <v>1</v>
      </c>
      <c r="M22" s="522">
        <f t="shared" si="8"/>
        <v>1</v>
      </c>
      <c r="N22" s="7"/>
      <c r="O22" s="7"/>
      <c r="P22" s="7"/>
      <c r="Q22" s="7"/>
      <c r="R22" s="7"/>
      <c r="S22" s="7"/>
      <c r="T22" s="7"/>
      <c r="U22" s="7"/>
      <c r="V22" s="7"/>
      <c r="W22" s="2"/>
      <c r="X22" s="2"/>
      <c r="Y22" s="2"/>
      <c r="Z22" s="2"/>
    </row>
    <row r="23" spans="1:26" ht="12.75" customHeight="1" x14ac:dyDescent="0.15">
      <c r="A23" s="1" t="s">
        <v>350</v>
      </c>
      <c r="B23" s="267"/>
      <c r="C23" s="267"/>
      <c r="D23" s="578"/>
      <c r="E23" s="563">
        <f>-B12*B13</f>
        <v>-14876000</v>
      </c>
      <c r="F23" s="555"/>
      <c r="G23" s="580"/>
      <c r="H23" s="580"/>
      <c r="I23" s="580"/>
      <c r="J23" s="581"/>
      <c r="K23" s="581"/>
      <c r="L23" s="581"/>
      <c r="M23" s="581"/>
      <c r="N23" s="7"/>
      <c r="O23" s="7"/>
      <c r="P23" s="7"/>
      <c r="Q23" s="7"/>
      <c r="R23" s="7"/>
      <c r="S23" s="7"/>
      <c r="T23" s="7"/>
      <c r="U23" s="7"/>
      <c r="V23" s="7"/>
      <c r="W23" s="2"/>
      <c r="X23" s="2"/>
      <c r="Y23" s="2"/>
      <c r="Z23" s="2"/>
    </row>
    <row r="24" spans="1:26" ht="12.75" customHeight="1" x14ac:dyDescent="0.15">
      <c r="A24" s="1" t="s">
        <v>351</v>
      </c>
      <c r="B24" s="535">
        <v>0.2</v>
      </c>
      <c r="C24" s="267"/>
      <c r="D24" s="578"/>
      <c r="E24" s="563">
        <f>B24*E23</f>
        <v>-2975200</v>
      </c>
      <c r="F24" s="555"/>
      <c r="G24" s="582"/>
      <c r="H24" s="582"/>
      <c r="I24" s="582"/>
      <c r="J24" s="581"/>
      <c r="K24" s="581"/>
      <c r="L24" s="581"/>
      <c r="M24" s="581"/>
      <c r="N24" s="7"/>
      <c r="O24" s="7"/>
      <c r="P24" s="7"/>
      <c r="Q24" s="7"/>
      <c r="R24" s="7"/>
      <c r="S24" s="7"/>
      <c r="T24" s="7"/>
      <c r="U24" s="7"/>
      <c r="V24" s="7"/>
      <c r="W24" s="2"/>
      <c r="X24" s="2"/>
      <c r="Y24" s="2"/>
      <c r="Z24" s="2"/>
    </row>
    <row r="25" spans="1:26" ht="12.75" customHeight="1" x14ac:dyDescent="0.15">
      <c r="A25" s="277" t="s">
        <v>170</v>
      </c>
      <c r="B25" s="25"/>
      <c r="C25" s="283"/>
      <c r="D25" s="583"/>
      <c r="E25" s="569">
        <f>SUM(E23:E24)</f>
        <v>-17851200</v>
      </c>
      <c r="F25" s="584"/>
      <c r="G25" s="585"/>
      <c r="H25" s="585"/>
      <c r="I25" s="585"/>
      <c r="J25" s="586"/>
      <c r="K25" s="586"/>
      <c r="L25" s="586"/>
      <c r="M25" s="586"/>
      <c r="N25" s="7"/>
      <c r="O25" s="7"/>
      <c r="P25" s="7"/>
      <c r="Q25" s="7"/>
      <c r="R25" s="7"/>
      <c r="S25" s="7"/>
      <c r="T25" s="7"/>
      <c r="U25" s="7"/>
      <c r="V25" s="7"/>
      <c r="W25" s="2"/>
      <c r="X25" s="2"/>
      <c r="Y25" s="2"/>
      <c r="Z25" s="2"/>
    </row>
    <row r="26" spans="1:26" ht="12.75" customHeight="1" x14ac:dyDescent="0.15">
      <c r="A26" s="92" t="s">
        <v>174</v>
      </c>
      <c r="B26" s="280"/>
      <c r="C26" s="280"/>
      <c r="D26" s="554"/>
      <c r="E26" s="555"/>
      <c r="F26" s="555"/>
      <c r="G26" s="556"/>
      <c r="H26" s="556"/>
      <c r="I26" s="556"/>
      <c r="J26" s="557"/>
      <c r="K26" s="557"/>
      <c r="L26" s="557"/>
      <c r="M26" s="557"/>
      <c r="N26" s="7"/>
      <c r="O26" s="7"/>
      <c r="P26" s="7"/>
      <c r="Q26" s="7"/>
      <c r="R26" s="7"/>
      <c r="S26" s="7"/>
      <c r="T26" s="7"/>
      <c r="U26" s="7"/>
      <c r="V26" s="7"/>
      <c r="W26" s="2"/>
      <c r="X26" s="2"/>
      <c r="Y26" s="2"/>
      <c r="Z26" s="2"/>
    </row>
    <row r="27" spans="1:26" ht="12.75" customHeight="1" x14ac:dyDescent="0.15">
      <c r="A27" s="1" t="s">
        <v>177</v>
      </c>
      <c r="B27" s="587"/>
      <c r="C27" s="587"/>
      <c r="D27" s="588"/>
      <c r="E27" s="589">
        <f t="shared" ref="E27:M27" si="9">E19</f>
        <v>0</v>
      </c>
      <c r="F27" s="589">
        <f t="shared" si="9"/>
        <v>1520299.8885937505</v>
      </c>
      <c r="G27" s="590">
        <f t="shared" si="9"/>
        <v>1680571.0900761334</v>
      </c>
      <c r="H27" s="590">
        <f t="shared" si="9"/>
        <v>1855739.2998022533</v>
      </c>
      <c r="I27" s="590">
        <f t="shared" si="9"/>
        <v>2047131.6050902847</v>
      </c>
      <c r="J27" s="591">
        <f t="shared" si="9"/>
        <v>2256191.4350981102</v>
      </c>
      <c r="K27" s="591">
        <f t="shared" si="9"/>
        <v>2484488.696073432</v>
      </c>
      <c r="L27" s="591">
        <f t="shared" si="9"/>
        <v>2733730.7873276831</v>
      </c>
      <c r="M27" s="591">
        <f t="shared" si="9"/>
        <v>3005774.5743886861</v>
      </c>
      <c r="N27" s="7"/>
      <c r="O27" s="7"/>
      <c r="P27" s="7"/>
      <c r="Q27" s="7"/>
      <c r="R27" s="7"/>
      <c r="S27" s="7"/>
      <c r="T27" s="7"/>
      <c r="U27" s="7"/>
      <c r="V27" s="7"/>
      <c r="W27" s="2"/>
      <c r="X27" s="2"/>
      <c r="Y27" s="2"/>
      <c r="Z27" s="2"/>
    </row>
    <row r="28" spans="1:26" ht="12.75" customHeight="1" x14ac:dyDescent="0.15">
      <c r="A28" s="1" t="s">
        <v>344</v>
      </c>
      <c r="B28" s="535">
        <v>0.09</v>
      </c>
      <c r="C28" s="535"/>
      <c r="D28" s="592"/>
      <c r="E28" s="593"/>
      <c r="F28" s="593"/>
      <c r="G28" s="594"/>
      <c r="H28" s="594"/>
      <c r="I28" s="594"/>
      <c r="J28" s="595"/>
      <c r="K28" s="595"/>
      <c r="L28" s="595"/>
      <c r="M28" s="595"/>
      <c r="N28" s="7"/>
      <c r="O28" s="7"/>
      <c r="P28" s="7"/>
      <c r="Q28" s="7"/>
      <c r="R28" s="7"/>
      <c r="S28" s="7"/>
      <c r="T28" s="7"/>
      <c r="U28" s="7"/>
      <c r="V28" s="7"/>
      <c r="W28" s="2"/>
      <c r="X28" s="2"/>
      <c r="Y28" s="2"/>
      <c r="Z28" s="2"/>
    </row>
    <row r="29" spans="1:26" ht="12.75" customHeight="1" x14ac:dyDescent="0.15">
      <c r="A29" s="1" t="s">
        <v>324</v>
      </c>
      <c r="B29" s="44"/>
      <c r="C29" s="44"/>
      <c r="D29" s="592"/>
      <c r="E29" s="589"/>
      <c r="F29" s="589"/>
      <c r="G29" s="590"/>
      <c r="H29" s="590"/>
      <c r="I29" s="590"/>
      <c r="J29" s="591"/>
      <c r="K29" s="591"/>
      <c r="L29" s="591"/>
      <c r="M29" s="591">
        <f>M27/$B$28</f>
        <v>33397495.270985402</v>
      </c>
      <c r="N29" s="7"/>
      <c r="O29" s="7"/>
      <c r="P29" s="7"/>
      <c r="Q29" s="7"/>
      <c r="R29" s="7"/>
      <c r="S29" s="7"/>
      <c r="T29" s="7"/>
      <c r="U29" s="7"/>
      <c r="V29" s="7"/>
      <c r="W29" s="2"/>
      <c r="X29" s="2"/>
      <c r="Y29" s="2"/>
      <c r="Z29" s="2"/>
    </row>
    <row r="30" spans="1:26" ht="12.75" customHeight="1" x14ac:dyDescent="0.15">
      <c r="A30" s="1" t="s">
        <v>325</v>
      </c>
      <c r="B30" s="44">
        <v>0.03</v>
      </c>
      <c r="C30" s="44"/>
      <c r="D30" s="592"/>
      <c r="E30" s="596"/>
      <c r="F30" s="596"/>
      <c r="G30" s="582"/>
      <c r="H30" s="582"/>
      <c r="I30" s="582"/>
      <c r="J30" s="581"/>
      <c r="K30" s="581"/>
      <c r="L30" s="581"/>
      <c r="M30" s="591">
        <f>M29*B30</f>
        <v>1001924.858129562</v>
      </c>
      <c r="N30" s="7"/>
      <c r="O30" s="7"/>
      <c r="P30" s="7"/>
      <c r="Q30" s="7"/>
      <c r="R30" s="7"/>
      <c r="S30" s="7"/>
      <c r="T30" s="7"/>
      <c r="U30" s="7"/>
      <c r="V30" s="7"/>
      <c r="W30" s="2"/>
      <c r="X30" s="2"/>
      <c r="Y30" s="2"/>
      <c r="Z30" s="2"/>
    </row>
    <row r="31" spans="1:26" ht="12.75" customHeight="1" x14ac:dyDescent="0.15">
      <c r="A31" s="1" t="s">
        <v>170</v>
      </c>
      <c r="B31" s="44"/>
      <c r="C31" s="44"/>
      <c r="D31" s="592">
        <f t="shared" ref="D31:E31" si="10">D25</f>
        <v>0</v>
      </c>
      <c r="E31" s="563">
        <f t="shared" si="10"/>
        <v>-17851200</v>
      </c>
      <c r="F31" s="596"/>
      <c r="G31" s="582"/>
      <c r="H31" s="582"/>
      <c r="I31" s="582"/>
      <c r="J31" s="581"/>
      <c r="K31" s="581"/>
      <c r="L31" s="581"/>
      <c r="M31" s="581"/>
      <c r="N31" s="7"/>
      <c r="O31" s="7"/>
      <c r="P31" s="7"/>
      <c r="Q31" s="7"/>
      <c r="R31" s="7"/>
      <c r="S31" s="7"/>
      <c r="T31" s="7"/>
      <c r="U31" s="7"/>
      <c r="V31" s="7"/>
      <c r="W31" s="2"/>
      <c r="X31" s="2"/>
      <c r="Y31" s="2"/>
      <c r="Z31" s="2"/>
    </row>
    <row r="32" spans="1:26" ht="12.75" customHeight="1" x14ac:dyDescent="0.15">
      <c r="A32" s="279" t="s">
        <v>326</v>
      </c>
      <c r="B32" s="282"/>
      <c r="C32" s="282"/>
      <c r="D32" s="597"/>
      <c r="E32" s="569">
        <f t="shared" ref="E32:M32" si="11">SUM(E27:E31)</f>
        <v>-17851200</v>
      </c>
      <c r="F32" s="569">
        <f t="shared" si="11"/>
        <v>1520299.8885937505</v>
      </c>
      <c r="G32" s="570">
        <f t="shared" si="11"/>
        <v>1680571.0900761334</v>
      </c>
      <c r="H32" s="570">
        <f t="shared" si="11"/>
        <v>1855739.2998022533</v>
      </c>
      <c r="I32" s="570">
        <f t="shared" si="11"/>
        <v>2047131.6050902847</v>
      </c>
      <c r="J32" s="571">
        <f t="shared" si="11"/>
        <v>2256191.4350981102</v>
      </c>
      <c r="K32" s="571">
        <f t="shared" si="11"/>
        <v>2484488.696073432</v>
      </c>
      <c r="L32" s="571">
        <f t="shared" si="11"/>
        <v>2733730.7873276831</v>
      </c>
      <c r="M32" s="571">
        <f t="shared" si="11"/>
        <v>37405194.703503646</v>
      </c>
      <c r="N32" s="7"/>
      <c r="O32" s="7"/>
      <c r="P32" s="7"/>
      <c r="Q32" s="7"/>
      <c r="R32" s="7"/>
      <c r="S32" s="7"/>
      <c r="T32" s="7"/>
      <c r="U32" s="7"/>
      <c r="V32" s="7"/>
      <c r="W32" s="2"/>
      <c r="X32" s="2"/>
      <c r="Y32" s="2"/>
      <c r="Z32" s="2"/>
    </row>
    <row r="33" spans="1:26" ht="12.75" customHeight="1" x14ac:dyDescent="0.15">
      <c r="A33" s="92" t="s">
        <v>218</v>
      </c>
      <c r="B33" s="471"/>
      <c r="C33" s="471"/>
      <c r="D33" s="930">
        <f t="array" ref="D33">NPV(B7,D32:M32)</f>
        <v>8516579.4292977843</v>
      </c>
      <c r="E33" s="555"/>
      <c r="F33" s="555"/>
      <c r="G33" s="556"/>
      <c r="H33" s="556"/>
      <c r="I33" s="556"/>
      <c r="J33" s="557"/>
      <c r="K33" s="557"/>
      <c r="L33" s="557"/>
      <c r="M33" s="557"/>
      <c r="N33" s="7"/>
      <c r="O33" s="7"/>
      <c r="P33" s="7"/>
      <c r="Q33" s="7"/>
      <c r="R33" s="7"/>
      <c r="S33" s="7"/>
      <c r="T33" s="7"/>
      <c r="U33" s="7"/>
      <c r="V33" s="7"/>
      <c r="W33" s="2"/>
      <c r="X33" s="2"/>
      <c r="Y33" s="2"/>
      <c r="Z33" s="2"/>
    </row>
    <row r="34" spans="1:26" ht="12.75" customHeight="1" x14ac:dyDescent="0.15">
      <c r="A34" s="281" t="s">
        <v>224</v>
      </c>
      <c r="B34" s="283"/>
      <c r="C34" s="283"/>
      <c r="D34" s="931">
        <f>IRR(D32:M32,B7)</f>
        <v>0.17508949096206372</v>
      </c>
      <c r="E34" s="599"/>
      <c r="F34" s="599"/>
      <c r="G34" s="600"/>
      <c r="H34" s="600"/>
      <c r="I34" s="600"/>
      <c r="J34" s="601"/>
      <c r="K34" s="601"/>
      <c r="L34" s="601"/>
      <c r="M34" s="601"/>
      <c r="N34" s="7"/>
      <c r="O34" s="7"/>
      <c r="P34" s="7"/>
      <c r="Q34" s="7"/>
      <c r="R34" s="7"/>
      <c r="S34" s="7"/>
      <c r="T34" s="7"/>
      <c r="U34" s="7"/>
      <c r="V34" s="7"/>
      <c r="W34" s="2"/>
      <c r="X34" s="2"/>
      <c r="Y34" s="2"/>
      <c r="Z34" s="2"/>
    </row>
    <row r="35" spans="1:26" ht="13.5" customHeight="1" x14ac:dyDescent="0.15">
      <c r="A35" s="281" t="s">
        <v>229</v>
      </c>
      <c r="B35" s="283"/>
      <c r="C35" s="283"/>
      <c r="D35" s="602"/>
      <c r="E35" s="599"/>
      <c r="F35" s="599"/>
      <c r="G35" s="600"/>
      <c r="H35" s="600"/>
      <c r="I35" s="600"/>
      <c r="J35" s="601"/>
      <c r="K35" s="601"/>
      <c r="L35" s="601"/>
      <c r="M35" s="601"/>
      <c r="N35" s="7"/>
      <c r="O35" s="7"/>
      <c r="P35" s="7"/>
      <c r="Q35" s="7"/>
      <c r="R35" s="7"/>
      <c r="S35" s="7"/>
      <c r="T35" s="7"/>
      <c r="U35" s="7"/>
      <c r="V35" s="7"/>
      <c r="W35" s="2"/>
      <c r="X35" s="2"/>
      <c r="Y35" s="2"/>
      <c r="Z35" s="2"/>
    </row>
    <row r="36" spans="1:26" ht="12.75" customHeight="1" x14ac:dyDescent="0.15">
      <c r="A36" s="11"/>
      <c r="B36" s="16"/>
      <c r="C36" s="16"/>
      <c r="D36" s="7"/>
      <c r="E36" s="7"/>
      <c r="F36" s="7"/>
      <c r="G36" s="7"/>
      <c r="H36" s="7"/>
      <c r="I36" s="7"/>
      <c r="J36" s="7"/>
      <c r="K36" s="7"/>
      <c r="L36" s="548"/>
      <c r="M36" s="250"/>
      <c r="N36" s="7"/>
      <c r="O36" s="7"/>
      <c r="P36" s="7"/>
      <c r="Q36" s="7"/>
      <c r="R36" s="7"/>
      <c r="S36" s="7"/>
      <c r="T36" s="7"/>
      <c r="U36" s="7"/>
      <c r="V36" s="7"/>
      <c r="W36" s="2"/>
      <c r="X36" s="2"/>
      <c r="Y36" s="2"/>
      <c r="Z36" s="2"/>
    </row>
    <row r="37" spans="1:26" ht="12.75" customHeight="1" x14ac:dyDescent="0.15">
      <c r="A37" s="11" t="s">
        <v>68</v>
      </c>
      <c r="B37" s="16"/>
      <c r="C37" s="16" t="s">
        <v>18</v>
      </c>
      <c r="D37" s="15" t="s">
        <v>19</v>
      </c>
      <c r="E37" s="17" t="s">
        <v>20</v>
      </c>
      <c r="F37" s="17"/>
      <c r="G37" s="18" t="s">
        <v>20</v>
      </c>
      <c r="H37" s="19"/>
      <c r="I37" s="18"/>
      <c r="J37" s="20" t="s">
        <v>22</v>
      </c>
      <c r="K37" s="21"/>
      <c r="L37" s="21"/>
      <c r="M37" s="21"/>
      <c r="N37" s="7"/>
      <c r="O37" s="7"/>
      <c r="P37" s="7"/>
      <c r="Q37" s="7"/>
      <c r="R37" s="7"/>
      <c r="S37" s="7"/>
      <c r="T37" s="7"/>
      <c r="U37" s="7"/>
      <c r="V37" s="7"/>
      <c r="W37" s="2"/>
      <c r="X37" s="2"/>
      <c r="Y37" s="2"/>
      <c r="Z37" s="2"/>
    </row>
    <row r="38" spans="1:26" ht="12.75" customHeight="1" x14ac:dyDescent="0.15">
      <c r="A38" s="86"/>
      <c r="B38" s="27" t="s">
        <v>25</v>
      </c>
      <c r="C38" s="27" t="s">
        <v>24</v>
      </c>
      <c r="D38" s="470">
        <v>2019</v>
      </c>
      <c r="E38" s="29">
        <f t="shared" ref="E38:M38" si="12">D38+1</f>
        <v>2020</v>
      </c>
      <c r="F38" s="29">
        <f t="shared" si="12"/>
        <v>2021</v>
      </c>
      <c r="G38" s="31">
        <f t="shared" si="12"/>
        <v>2022</v>
      </c>
      <c r="H38" s="31">
        <f t="shared" si="12"/>
        <v>2023</v>
      </c>
      <c r="I38" s="31">
        <f t="shared" si="12"/>
        <v>2024</v>
      </c>
      <c r="J38" s="33">
        <f t="shared" si="12"/>
        <v>2025</v>
      </c>
      <c r="K38" s="33">
        <f t="shared" si="12"/>
        <v>2026</v>
      </c>
      <c r="L38" s="33">
        <f t="shared" si="12"/>
        <v>2027</v>
      </c>
      <c r="M38" s="33">
        <f t="shared" si="12"/>
        <v>2028</v>
      </c>
      <c r="N38" s="7"/>
      <c r="O38" s="7"/>
      <c r="P38" s="7"/>
      <c r="Q38" s="7"/>
      <c r="R38" s="7"/>
      <c r="S38" s="7"/>
      <c r="T38" s="7"/>
      <c r="U38" s="7"/>
      <c r="V38" s="7"/>
      <c r="W38" s="2"/>
      <c r="X38" s="2"/>
      <c r="Y38" s="2"/>
      <c r="Z38" s="2"/>
    </row>
    <row r="39" spans="1:26" ht="12.75" customHeight="1" x14ac:dyDescent="0.15">
      <c r="A39" s="92" t="s">
        <v>302</v>
      </c>
      <c r="B39" s="16"/>
      <c r="C39" s="16"/>
      <c r="D39" s="222"/>
      <c r="E39" s="224"/>
      <c r="F39" s="224"/>
      <c r="G39" s="227"/>
      <c r="H39" s="227"/>
      <c r="I39" s="227"/>
      <c r="J39" s="128"/>
      <c r="K39" s="128"/>
      <c r="L39" s="128"/>
      <c r="M39" s="128"/>
      <c r="N39" s="7"/>
      <c r="O39" s="7"/>
      <c r="P39" s="7"/>
      <c r="Q39" s="7"/>
      <c r="R39" s="7"/>
      <c r="S39" s="7"/>
      <c r="T39" s="7"/>
      <c r="U39" s="7"/>
      <c r="V39" s="7"/>
      <c r="W39" s="2"/>
      <c r="X39" s="2"/>
      <c r="Y39" s="2"/>
      <c r="Z39" s="2"/>
    </row>
    <row r="40" spans="1:26" ht="12.75" customHeight="1" x14ac:dyDescent="0.15">
      <c r="A40" s="1" t="s">
        <v>244</v>
      </c>
      <c r="B40" s="275">
        <v>3.5000000000000003E-2</v>
      </c>
      <c r="C40" s="44"/>
      <c r="D40" s="71"/>
      <c r="E40" s="82"/>
      <c r="F40" s="82"/>
      <c r="G40" s="65"/>
      <c r="H40" s="65"/>
      <c r="I40" s="65"/>
      <c r="J40" s="47"/>
      <c r="K40" s="47"/>
      <c r="L40" s="47"/>
      <c r="M40" s="47"/>
      <c r="N40" s="7"/>
      <c r="O40" s="7"/>
      <c r="P40" s="7"/>
      <c r="Q40" s="7"/>
      <c r="R40" s="7"/>
      <c r="S40" s="7"/>
      <c r="T40" s="7"/>
      <c r="U40" s="7"/>
      <c r="V40" s="7"/>
      <c r="W40" s="2"/>
      <c r="X40" s="2"/>
      <c r="Y40" s="2"/>
      <c r="Z40" s="2"/>
    </row>
    <row r="41" spans="1:26" ht="12.75" customHeight="1" x14ac:dyDescent="0.15">
      <c r="A41" s="1" t="s">
        <v>344</v>
      </c>
      <c r="B41" s="471">
        <v>0.1</v>
      </c>
      <c r="C41" s="471"/>
      <c r="D41" s="472"/>
      <c r="E41" s="473"/>
      <c r="F41" s="473"/>
      <c r="G41" s="474"/>
      <c r="H41" s="474"/>
      <c r="I41" s="474"/>
      <c r="J41" s="475"/>
      <c r="K41" s="475"/>
      <c r="L41" s="475"/>
      <c r="M41" s="475"/>
      <c r="N41" s="7"/>
      <c r="O41" s="7"/>
      <c r="P41" s="7"/>
      <c r="Q41" s="7"/>
      <c r="R41" s="7"/>
      <c r="S41" s="7"/>
      <c r="T41" s="7"/>
      <c r="U41" s="7"/>
      <c r="V41" s="7"/>
      <c r="W41" s="2"/>
      <c r="X41" s="2"/>
      <c r="Y41" s="2"/>
      <c r="Z41" s="2"/>
    </row>
    <row r="42" spans="1:26" ht="12.75" customHeight="1" x14ac:dyDescent="0.15">
      <c r="A42" s="1" t="s">
        <v>345</v>
      </c>
      <c r="B42" s="471">
        <v>0.95</v>
      </c>
      <c r="C42" s="471"/>
      <c r="D42" s="472"/>
      <c r="E42" s="473"/>
      <c r="F42" s="473"/>
      <c r="G42" s="474"/>
      <c r="H42" s="474"/>
      <c r="I42" s="474"/>
      <c r="J42" s="475"/>
      <c r="K42" s="475"/>
      <c r="L42" s="475"/>
      <c r="M42" s="475"/>
      <c r="N42" s="7"/>
      <c r="O42" s="7"/>
      <c r="P42" s="7"/>
      <c r="Q42" s="7"/>
      <c r="R42" s="7"/>
      <c r="S42" s="7"/>
      <c r="T42" s="7"/>
      <c r="U42" s="7"/>
      <c r="V42" s="7"/>
      <c r="W42" s="2"/>
      <c r="X42" s="2"/>
      <c r="Y42" s="2"/>
      <c r="Z42" s="2"/>
    </row>
    <row r="43" spans="1:26" ht="12.75" customHeight="1" x14ac:dyDescent="0.15">
      <c r="A43" s="35" t="s">
        <v>304</v>
      </c>
      <c r="B43" s="44">
        <v>0.9</v>
      </c>
      <c r="C43" s="471"/>
      <c r="D43" s="472"/>
      <c r="E43" s="473"/>
      <c r="F43" s="473"/>
      <c r="G43" s="474"/>
      <c r="H43" s="474"/>
      <c r="I43" s="474"/>
      <c r="J43" s="475"/>
      <c r="K43" s="475"/>
      <c r="L43" s="475"/>
      <c r="M43" s="475"/>
      <c r="N43" s="7"/>
      <c r="O43" s="7"/>
      <c r="P43" s="7"/>
      <c r="Q43" s="7"/>
      <c r="R43" s="7"/>
      <c r="S43" s="7"/>
      <c r="T43" s="7"/>
      <c r="U43" s="7"/>
      <c r="V43" s="7"/>
      <c r="W43" s="2"/>
      <c r="X43" s="2"/>
      <c r="Y43" s="2"/>
      <c r="Z43" s="2"/>
    </row>
    <row r="44" spans="1:26" ht="12.75" customHeight="1" x14ac:dyDescent="0.15">
      <c r="A44" s="35" t="s">
        <v>346</v>
      </c>
      <c r="B44" s="44">
        <v>0.65</v>
      </c>
      <c r="C44" s="471"/>
      <c r="D44" s="550"/>
      <c r="E44" s="551">
        <f>B44</f>
        <v>0.65</v>
      </c>
      <c r="F44" s="551">
        <f t="shared" ref="F44:M44" si="13">E44*1.05</f>
        <v>0.68250000000000011</v>
      </c>
      <c r="G44" s="552">
        <f t="shared" si="13"/>
        <v>0.71662500000000018</v>
      </c>
      <c r="H44" s="552">
        <f t="shared" si="13"/>
        <v>0.75245625000000027</v>
      </c>
      <c r="I44" s="552">
        <f t="shared" si="13"/>
        <v>0.79007906250000037</v>
      </c>
      <c r="J44" s="553">
        <f t="shared" si="13"/>
        <v>0.82958301562500047</v>
      </c>
      <c r="K44" s="553">
        <f t="shared" si="13"/>
        <v>0.87106216640625056</v>
      </c>
      <c r="L44" s="553">
        <f t="shared" si="13"/>
        <v>0.91461527472656312</v>
      </c>
      <c r="M44" s="553">
        <f t="shared" si="13"/>
        <v>0.96034603846289135</v>
      </c>
      <c r="N44" s="7"/>
      <c r="O44" s="7"/>
      <c r="P44" s="7"/>
      <c r="Q44" s="7"/>
      <c r="R44" s="7"/>
      <c r="S44" s="7"/>
      <c r="T44" s="7"/>
      <c r="U44" s="7"/>
      <c r="V44" s="7"/>
      <c r="W44" s="2"/>
      <c r="X44" s="2"/>
      <c r="Y44" s="2"/>
      <c r="Z44" s="2"/>
    </row>
    <row r="45" spans="1:26" ht="12.75" customHeight="1" x14ac:dyDescent="0.15">
      <c r="A45" s="35" t="s">
        <v>56</v>
      </c>
      <c r="B45" s="44">
        <v>0.2</v>
      </c>
      <c r="C45" s="471"/>
      <c r="D45" s="472"/>
      <c r="E45" s="473"/>
      <c r="F45" s="473"/>
      <c r="G45" s="474"/>
      <c r="H45" s="474"/>
      <c r="I45" s="474"/>
      <c r="J45" s="475"/>
      <c r="K45" s="475"/>
      <c r="L45" s="475"/>
      <c r="M45" s="475"/>
      <c r="N45" s="7"/>
      <c r="O45" s="7"/>
      <c r="P45" s="7"/>
      <c r="Q45" s="7"/>
      <c r="R45" s="7"/>
      <c r="S45" s="7"/>
      <c r="T45" s="7"/>
      <c r="U45" s="7"/>
      <c r="V45" s="7"/>
      <c r="W45" s="2"/>
      <c r="X45" s="2"/>
      <c r="Y45" s="2"/>
      <c r="Z45" s="2"/>
    </row>
    <row r="46" spans="1:26" ht="12.75" customHeight="1" x14ac:dyDescent="0.15">
      <c r="A46" s="35" t="s">
        <v>333</v>
      </c>
      <c r="B46" s="280">
        <f>'Project Data'!$P$145</f>
        <v>135748</v>
      </c>
      <c r="C46" s="280"/>
      <c r="D46" s="554"/>
      <c r="E46" s="555"/>
      <c r="F46" s="555"/>
      <c r="G46" s="556"/>
      <c r="H46" s="556"/>
      <c r="I46" s="556"/>
      <c r="J46" s="557"/>
      <c r="K46" s="557"/>
      <c r="L46" s="557"/>
      <c r="M46" s="557"/>
      <c r="N46" s="7"/>
      <c r="O46" s="7"/>
      <c r="P46" s="7"/>
      <c r="Q46" s="7"/>
      <c r="R46" s="7"/>
      <c r="S46" s="7"/>
      <c r="T46" s="7"/>
      <c r="U46" s="7"/>
      <c r="V46" s="7"/>
      <c r="W46" s="2"/>
      <c r="X46" s="2"/>
      <c r="Y46" s="2"/>
      <c r="Z46" s="2"/>
    </row>
    <row r="47" spans="1:26" ht="12.75" customHeight="1" x14ac:dyDescent="0.15">
      <c r="A47" s="35" t="s">
        <v>307</v>
      </c>
      <c r="B47" s="558">
        <f>'Project Data'!D73</f>
        <v>140</v>
      </c>
      <c r="C47" s="16"/>
      <c r="D47" s="559"/>
      <c r="E47" s="560">
        <f t="shared" ref="E47:E49" si="14">B47</f>
        <v>140</v>
      </c>
      <c r="F47" s="560">
        <f t="shared" ref="F47:G47" si="15">E47*1.05</f>
        <v>147</v>
      </c>
      <c r="G47" s="561">
        <f t="shared" si="15"/>
        <v>154.35</v>
      </c>
      <c r="H47" s="561"/>
      <c r="I47" s="561"/>
      <c r="J47" s="562"/>
      <c r="K47" s="562"/>
      <c r="L47" s="562"/>
      <c r="M47" s="562"/>
      <c r="N47" s="7"/>
      <c r="O47" s="7"/>
      <c r="P47" s="7"/>
      <c r="Q47" s="7"/>
      <c r="R47" s="7"/>
      <c r="S47" s="7"/>
      <c r="T47" s="7"/>
      <c r="U47" s="7"/>
      <c r="V47" s="7"/>
      <c r="W47" s="2"/>
      <c r="X47" s="2"/>
      <c r="Y47" s="2"/>
      <c r="Z47" s="2"/>
    </row>
    <row r="48" spans="1:26" ht="12.75" customHeight="1" x14ac:dyDescent="0.15">
      <c r="A48" s="35" t="s">
        <v>347</v>
      </c>
      <c r="B48" s="558">
        <f>'Project Data'!D71</f>
        <v>35</v>
      </c>
      <c r="C48" s="16"/>
      <c r="D48" s="559"/>
      <c r="E48" s="560">
        <f t="shared" si="14"/>
        <v>35</v>
      </c>
      <c r="F48" s="563">
        <f t="shared" ref="F48:M48" si="16">E48*(1+$B$6)</f>
        <v>36.224999999999994</v>
      </c>
      <c r="G48" s="564">
        <f t="shared" si="16"/>
        <v>37.492874999999991</v>
      </c>
      <c r="H48" s="564">
        <f t="shared" si="16"/>
        <v>38.805125624999988</v>
      </c>
      <c r="I48" s="564">
        <f t="shared" si="16"/>
        <v>40.163305021874983</v>
      </c>
      <c r="J48" s="565">
        <f t="shared" si="16"/>
        <v>41.569020697640603</v>
      </c>
      <c r="K48" s="565">
        <f t="shared" si="16"/>
        <v>43.023936422058021</v>
      </c>
      <c r="L48" s="565">
        <f t="shared" si="16"/>
        <v>44.529774196830047</v>
      </c>
      <c r="M48" s="565">
        <f t="shared" si="16"/>
        <v>46.088316293719096</v>
      </c>
      <c r="N48" s="7"/>
      <c r="O48" s="7"/>
      <c r="P48" s="7"/>
      <c r="Q48" s="7"/>
      <c r="R48" s="7"/>
      <c r="S48" s="7"/>
      <c r="T48" s="7"/>
      <c r="U48" s="7"/>
      <c r="V48" s="7"/>
      <c r="W48" s="2"/>
      <c r="X48" s="2"/>
      <c r="Y48" s="2"/>
      <c r="Z48" s="2"/>
    </row>
    <row r="49" spans="1:26" ht="12.75" customHeight="1" x14ac:dyDescent="0.15">
      <c r="A49" s="63" t="s">
        <v>352</v>
      </c>
      <c r="B49" s="566">
        <f>'Project Data'!D72</f>
        <v>6</v>
      </c>
      <c r="C49" s="25"/>
      <c r="D49" s="567"/>
      <c r="E49" s="568">
        <f t="shared" si="14"/>
        <v>6</v>
      </c>
      <c r="F49" s="569">
        <f t="shared" ref="F49:M49" si="17">E49*(1+$B$6)</f>
        <v>6.2099999999999991</v>
      </c>
      <c r="G49" s="570">
        <f t="shared" si="17"/>
        <v>6.4273499999999988</v>
      </c>
      <c r="H49" s="570">
        <f t="shared" si="17"/>
        <v>6.652307249999998</v>
      </c>
      <c r="I49" s="570">
        <f t="shared" si="17"/>
        <v>6.8851380037499972</v>
      </c>
      <c r="J49" s="571">
        <f t="shared" si="17"/>
        <v>7.1261178338812465</v>
      </c>
      <c r="K49" s="571">
        <f t="shared" si="17"/>
        <v>7.3755319580670893</v>
      </c>
      <c r="L49" s="571">
        <f t="shared" si="17"/>
        <v>7.6336755765994369</v>
      </c>
      <c r="M49" s="571">
        <f t="shared" si="17"/>
        <v>7.900854221780417</v>
      </c>
      <c r="N49" s="7"/>
      <c r="O49" s="7"/>
      <c r="P49" s="7"/>
      <c r="Q49" s="7"/>
      <c r="R49" s="7"/>
      <c r="S49" s="7"/>
      <c r="T49" s="7"/>
      <c r="U49" s="7"/>
      <c r="V49" s="7"/>
      <c r="W49" s="2"/>
      <c r="X49" s="2"/>
      <c r="Y49" s="2"/>
      <c r="Z49" s="2"/>
    </row>
    <row r="50" spans="1:26" ht="12.75" customHeight="1" x14ac:dyDescent="0.15">
      <c r="A50" s="92" t="s">
        <v>30</v>
      </c>
      <c r="B50" s="16"/>
      <c r="C50" s="16"/>
      <c r="D50" s="572"/>
      <c r="E50" s="563"/>
      <c r="F50" s="563"/>
      <c r="G50" s="564"/>
      <c r="H50" s="564"/>
      <c r="I50" s="564"/>
      <c r="J50" s="565"/>
      <c r="K50" s="565"/>
      <c r="L50" s="565"/>
      <c r="M50" s="565"/>
      <c r="N50" s="7"/>
      <c r="O50" s="7"/>
      <c r="P50" s="7"/>
      <c r="Q50" s="7"/>
      <c r="R50" s="7"/>
      <c r="S50" s="7"/>
      <c r="T50" s="7"/>
      <c r="U50" s="7"/>
      <c r="V50" s="7"/>
      <c r="W50" s="2"/>
      <c r="X50" s="2"/>
      <c r="Y50" s="2"/>
      <c r="Z50" s="2"/>
    </row>
    <row r="51" spans="1:26" ht="12.75" customHeight="1" x14ac:dyDescent="0.15">
      <c r="A51" s="35" t="s">
        <v>348</v>
      </c>
      <c r="B51" s="16"/>
      <c r="C51" s="16"/>
      <c r="D51" s="572"/>
      <c r="E51" s="563"/>
      <c r="F51" s="563">
        <f>$B$43*F48*F44*$B46*E55</f>
        <v>906167.02380750002</v>
      </c>
      <c r="G51" s="564">
        <f>$B43*G48*G44*$B46*(E55+F55)</f>
        <v>1969554.0262456012</v>
      </c>
      <c r="H51" s="564">
        <f>$B46*H48*H44*$B43</f>
        <v>3567354.7300373456</v>
      </c>
      <c r="I51" s="564">
        <f t="shared" ref="I51:M51" si="18">$B$43*I48*I44*$B$46</f>
        <v>3876822.7528680847</v>
      </c>
      <c r="J51" s="565">
        <f t="shared" si="18"/>
        <v>4213137.1266793916</v>
      </c>
      <c r="K51" s="565">
        <f t="shared" si="18"/>
        <v>4578626.7724188296</v>
      </c>
      <c r="L51" s="565">
        <f t="shared" si="18"/>
        <v>4975822.6449261624</v>
      </c>
      <c r="M51" s="565">
        <f t="shared" si="18"/>
        <v>5407475.2593735065</v>
      </c>
      <c r="N51" s="7"/>
      <c r="O51" s="7"/>
      <c r="P51" s="7"/>
      <c r="Q51" s="7"/>
      <c r="R51" s="7"/>
      <c r="S51" s="7"/>
      <c r="T51" s="7"/>
      <c r="U51" s="7"/>
      <c r="V51" s="7"/>
      <c r="W51" s="2"/>
      <c r="X51" s="2"/>
      <c r="Y51" s="2"/>
      <c r="Z51" s="2"/>
    </row>
    <row r="52" spans="1:26" ht="12.75" customHeight="1" x14ac:dyDescent="0.15">
      <c r="A52" s="573" t="s">
        <v>349</v>
      </c>
      <c r="B52" s="16"/>
      <c r="C52" s="574"/>
      <c r="D52" s="575"/>
      <c r="E52" s="563"/>
      <c r="F52" s="563">
        <f>F49*B42*B46*E55</f>
        <v>240253.59779999996</v>
      </c>
      <c r="G52" s="564">
        <f>G49*$B46*$B43*(E55+F55)</f>
        <v>471149.95021199988</v>
      </c>
      <c r="H52" s="564">
        <f>H49*$B$12*$B$8</f>
        <v>587573.35324031231</v>
      </c>
      <c r="I52" s="564">
        <f t="shared" ref="I52:M52" si="19">I49*$B$46*$B$42</f>
        <v>887911.5280464018</v>
      </c>
      <c r="J52" s="565">
        <f t="shared" si="19"/>
        <v>918988.43152802589</v>
      </c>
      <c r="K52" s="565">
        <f t="shared" si="19"/>
        <v>951153.02663150663</v>
      </c>
      <c r="L52" s="565">
        <f t="shared" si="19"/>
        <v>984443.38256360928</v>
      </c>
      <c r="M52" s="565">
        <f t="shared" si="19"/>
        <v>1018898.9009533357</v>
      </c>
      <c r="N52" s="7"/>
      <c r="O52" s="7"/>
      <c r="P52" s="7"/>
      <c r="Q52" s="7"/>
      <c r="R52" s="7"/>
      <c r="S52" s="7"/>
      <c r="T52" s="7"/>
      <c r="U52" s="7"/>
      <c r="V52" s="7"/>
      <c r="W52" s="2"/>
      <c r="X52" s="2"/>
      <c r="Y52" s="2"/>
      <c r="Z52" s="2"/>
    </row>
    <row r="53" spans="1:26" ht="12.75" customHeight="1" x14ac:dyDescent="0.15">
      <c r="A53" s="277" t="s">
        <v>177</v>
      </c>
      <c r="B53" s="283"/>
      <c r="C53" s="283"/>
      <c r="D53" s="567"/>
      <c r="E53" s="568"/>
      <c r="F53" s="568">
        <f t="shared" ref="F53:M53" si="20">F51-F52</f>
        <v>665913.42600750003</v>
      </c>
      <c r="G53" s="576">
        <f t="shared" si="20"/>
        <v>1498404.0760336013</v>
      </c>
      <c r="H53" s="576">
        <f t="shared" si="20"/>
        <v>2979781.3767970335</v>
      </c>
      <c r="I53" s="576">
        <f t="shared" si="20"/>
        <v>2988911.224821683</v>
      </c>
      <c r="J53" s="577">
        <f t="shared" si="20"/>
        <v>3294148.6951513658</v>
      </c>
      <c r="K53" s="577">
        <f t="shared" si="20"/>
        <v>3627473.745787323</v>
      </c>
      <c r="L53" s="577">
        <f t="shared" si="20"/>
        <v>3991379.2623625533</v>
      </c>
      <c r="M53" s="577">
        <f t="shared" si="20"/>
        <v>4388576.3584201708</v>
      </c>
      <c r="N53" s="7"/>
      <c r="O53" s="7"/>
      <c r="P53" s="7"/>
      <c r="Q53" s="7"/>
      <c r="R53" s="7"/>
      <c r="S53" s="7"/>
      <c r="T53" s="7"/>
      <c r="U53" s="7"/>
      <c r="V53" s="7"/>
      <c r="W53" s="2"/>
      <c r="X53" s="2"/>
      <c r="Y53" s="2"/>
      <c r="Z53" s="2"/>
    </row>
    <row r="54" spans="1:26" ht="12.75" customHeight="1" x14ac:dyDescent="0.15">
      <c r="A54" s="92" t="s">
        <v>106</v>
      </c>
      <c r="B54" s="280"/>
      <c r="C54" s="280"/>
      <c r="D54" s="554"/>
      <c r="E54" s="555"/>
      <c r="F54" s="555"/>
      <c r="G54" s="556"/>
      <c r="H54" s="556"/>
      <c r="I54" s="556"/>
      <c r="J54" s="557"/>
      <c r="K54" s="557"/>
      <c r="L54" s="557"/>
      <c r="M54" s="557"/>
      <c r="N54" s="7"/>
      <c r="O54" s="7"/>
      <c r="P54" s="7"/>
      <c r="Q54" s="7"/>
      <c r="R54" s="7"/>
      <c r="S54" s="7"/>
      <c r="T54" s="7"/>
      <c r="U54" s="7"/>
      <c r="V54" s="7"/>
      <c r="W54" s="2"/>
      <c r="X54" s="2"/>
      <c r="Y54" s="2"/>
      <c r="Z54" s="2"/>
    </row>
    <row r="55" spans="1:26" ht="12.75" customHeight="1" x14ac:dyDescent="0.15">
      <c r="A55" s="1" t="s">
        <v>320</v>
      </c>
      <c r="B55" s="267"/>
      <c r="C55" s="267"/>
      <c r="D55" s="603"/>
      <c r="E55" s="579">
        <v>0.3</v>
      </c>
      <c r="F55" s="579">
        <v>0.3</v>
      </c>
      <c r="G55" s="580">
        <v>0.4</v>
      </c>
      <c r="H55" s="580"/>
      <c r="I55" s="582"/>
      <c r="J55" s="581"/>
      <c r="K55" s="581"/>
      <c r="L55" s="581"/>
      <c r="M55" s="581"/>
      <c r="N55" s="7"/>
      <c r="O55" s="7"/>
      <c r="P55" s="7"/>
      <c r="Q55" s="7"/>
      <c r="R55" s="7"/>
      <c r="S55" s="7"/>
      <c r="T55" s="7"/>
      <c r="U55" s="7"/>
      <c r="V55" s="7"/>
      <c r="W55" s="2"/>
      <c r="X55" s="2"/>
      <c r="Y55" s="2"/>
      <c r="Z55" s="2"/>
    </row>
    <row r="56" spans="1:26" ht="13.5" customHeight="1" x14ac:dyDescent="0.15">
      <c r="A56" s="1" t="s">
        <v>335</v>
      </c>
      <c r="B56" s="267"/>
      <c r="C56" s="44"/>
      <c r="D56" s="523">
        <f>D55</f>
        <v>0</v>
      </c>
      <c r="E56" s="524">
        <f t="shared" ref="E56:M56" si="21">D56+E55</f>
        <v>0.3</v>
      </c>
      <c r="F56" s="524">
        <f t="shared" si="21"/>
        <v>0.6</v>
      </c>
      <c r="G56" s="525">
        <f t="shared" si="21"/>
        <v>1</v>
      </c>
      <c r="H56" s="525">
        <f t="shared" si="21"/>
        <v>1</v>
      </c>
      <c r="I56" s="525">
        <f t="shared" si="21"/>
        <v>1</v>
      </c>
      <c r="J56" s="522">
        <f t="shared" si="21"/>
        <v>1</v>
      </c>
      <c r="K56" s="522">
        <f t="shared" si="21"/>
        <v>1</v>
      </c>
      <c r="L56" s="522">
        <f t="shared" si="21"/>
        <v>1</v>
      </c>
      <c r="M56" s="522">
        <f t="shared" si="21"/>
        <v>1</v>
      </c>
      <c r="N56" s="7"/>
      <c r="O56" s="7"/>
      <c r="P56" s="7"/>
      <c r="Q56" s="7"/>
      <c r="R56" s="7"/>
      <c r="S56" s="7"/>
      <c r="T56" s="7"/>
      <c r="U56" s="7"/>
      <c r="V56" s="7"/>
      <c r="W56" s="2"/>
      <c r="X56" s="2"/>
      <c r="Y56" s="2"/>
      <c r="Z56" s="2"/>
    </row>
    <row r="57" spans="1:26" ht="12.75" customHeight="1" x14ac:dyDescent="0.15">
      <c r="A57" s="1" t="s">
        <v>350</v>
      </c>
      <c r="B57" s="267"/>
      <c r="C57" s="267"/>
      <c r="D57" s="572"/>
      <c r="E57" s="563">
        <f t="shared" ref="E57:G57" si="22">-$B$46*E47*E55</f>
        <v>-5701416</v>
      </c>
      <c r="F57" s="563">
        <f t="shared" si="22"/>
        <v>-5986486.7999999998</v>
      </c>
      <c r="G57" s="564">
        <f t="shared" si="22"/>
        <v>-8381081.5200000005</v>
      </c>
      <c r="H57" s="582"/>
      <c r="I57" s="582"/>
      <c r="J57" s="581"/>
      <c r="K57" s="581"/>
      <c r="L57" s="581"/>
      <c r="M57" s="581"/>
      <c r="N57" s="7"/>
      <c r="O57" s="7"/>
      <c r="P57" s="7"/>
      <c r="Q57" s="7"/>
      <c r="R57" s="7"/>
      <c r="S57" s="7"/>
      <c r="T57" s="7"/>
      <c r="U57" s="7"/>
      <c r="V57" s="7"/>
      <c r="W57" s="2"/>
      <c r="X57" s="2"/>
      <c r="Y57" s="2"/>
      <c r="Z57" s="2"/>
    </row>
    <row r="58" spans="1:26" ht="12.75" customHeight="1" x14ac:dyDescent="0.15">
      <c r="A58" s="1" t="s">
        <v>351</v>
      </c>
      <c r="B58" s="535">
        <v>0.2</v>
      </c>
      <c r="C58" s="267"/>
      <c r="D58" s="572"/>
      <c r="E58" s="563">
        <f t="shared" ref="E58:G58" si="23">$B58*E57</f>
        <v>-1140283.2</v>
      </c>
      <c r="F58" s="563">
        <f t="shared" si="23"/>
        <v>-1197297.3600000001</v>
      </c>
      <c r="G58" s="564">
        <f t="shared" si="23"/>
        <v>-1676216.3040000002</v>
      </c>
      <c r="H58" s="582"/>
      <c r="I58" s="582"/>
      <c r="J58" s="581"/>
      <c r="K58" s="581"/>
      <c r="L58" s="581"/>
      <c r="M58" s="581"/>
      <c r="N58" s="7"/>
      <c r="O58" s="7"/>
      <c r="P58" s="7"/>
      <c r="Q58" s="7"/>
      <c r="R58" s="7"/>
      <c r="S58" s="7"/>
      <c r="T58" s="7"/>
      <c r="U58" s="7"/>
      <c r="V58" s="7"/>
      <c r="W58" s="2"/>
      <c r="X58" s="2"/>
      <c r="Y58" s="2"/>
      <c r="Z58" s="2"/>
    </row>
    <row r="59" spans="1:26" ht="12.75" customHeight="1" x14ac:dyDescent="0.15">
      <c r="A59" s="277" t="s">
        <v>170</v>
      </c>
      <c r="B59" s="25"/>
      <c r="C59" s="283"/>
      <c r="D59" s="604"/>
      <c r="E59" s="569">
        <f t="shared" ref="E59:G59" si="24">SUM(E57:E58)</f>
        <v>-6841699.2000000002</v>
      </c>
      <c r="F59" s="569">
        <f t="shared" si="24"/>
        <v>-7183784.1600000001</v>
      </c>
      <c r="G59" s="570">
        <f t="shared" si="24"/>
        <v>-10057297.824000001</v>
      </c>
      <c r="H59" s="585"/>
      <c r="I59" s="585"/>
      <c r="J59" s="586"/>
      <c r="K59" s="586"/>
      <c r="L59" s="586"/>
      <c r="M59" s="586"/>
      <c r="N59" s="7"/>
      <c r="O59" s="7"/>
      <c r="P59" s="7"/>
      <c r="Q59" s="7"/>
      <c r="R59" s="7"/>
      <c r="S59" s="7"/>
      <c r="T59" s="7"/>
      <c r="U59" s="7"/>
      <c r="V59" s="7"/>
      <c r="W59" s="2"/>
      <c r="X59" s="2"/>
      <c r="Y59" s="2"/>
      <c r="Z59" s="2"/>
    </row>
    <row r="60" spans="1:26" ht="12.75" customHeight="1" x14ac:dyDescent="0.15">
      <c r="A60" s="92" t="s">
        <v>174</v>
      </c>
      <c r="B60" s="280"/>
      <c r="C60" s="280"/>
      <c r="D60" s="554"/>
      <c r="E60" s="555"/>
      <c r="F60" s="555"/>
      <c r="G60" s="556"/>
      <c r="H60" s="556"/>
      <c r="I60" s="556"/>
      <c r="J60" s="557"/>
      <c r="K60" s="557"/>
      <c r="L60" s="557"/>
      <c r="M60" s="557"/>
      <c r="N60" s="7"/>
      <c r="O60" s="7"/>
      <c r="P60" s="7"/>
      <c r="Q60" s="7"/>
      <c r="R60" s="7"/>
      <c r="S60" s="7"/>
      <c r="T60" s="7"/>
      <c r="U60" s="7"/>
      <c r="V60" s="7"/>
      <c r="W60" s="2"/>
      <c r="X60" s="2"/>
      <c r="Y60" s="2"/>
      <c r="Z60" s="2"/>
    </row>
    <row r="61" spans="1:26" ht="12.75" customHeight="1" x14ac:dyDescent="0.15">
      <c r="A61" s="1" t="s">
        <v>177</v>
      </c>
      <c r="B61" s="587"/>
      <c r="C61" s="587"/>
      <c r="D61" s="588"/>
      <c r="E61" s="589">
        <f t="shared" ref="E61:M61" si="25">E53</f>
        <v>0</v>
      </c>
      <c r="F61" s="589">
        <f t="shared" si="25"/>
        <v>665913.42600750003</v>
      </c>
      <c r="G61" s="590">
        <f t="shared" si="25"/>
        <v>1498404.0760336013</v>
      </c>
      <c r="H61" s="590">
        <f t="shared" si="25"/>
        <v>2979781.3767970335</v>
      </c>
      <c r="I61" s="590">
        <f t="shared" si="25"/>
        <v>2988911.224821683</v>
      </c>
      <c r="J61" s="591">
        <f t="shared" si="25"/>
        <v>3294148.6951513658</v>
      </c>
      <c r="K61" s="591">
        <f t="shared" si="25"/>
        <v>3627473.745787323</v>
      </c>
      <c r="L61" s="591">
        <f t="shared" si="25"/>
        <v>3991379.2623625533</v>
      </c>
      <c r="M61" s="591">
        <f t="shared" si="25"/>
        <v>4388576.3584201708</v>
      </c>
      <c r="N61" s="7"/>
      <c r="O61" s="7"/>
      <c r="P61" s="7"/>
      <c r="Q61" s="7"/>
      <c r="R61" s="7"/>
      <c r="S61" s="7"/>
      <c r="T61" s="7"/>
      <c r="U61" s="7"/>
      <c r="V61" s="7"/>
      <c r="W61" s="2"/>
      <c r="X61" s="2"/>
      <c r="Y61" s="2"/>
      <c r="Z61" s="2"/>
    </row>
    <row r="62" spans="1:26" ht="12.75" customHeight="1" x14ac:dyDescent="0.15">
      <c r="A62" s="1" t="s">
        <v>344</v>
      </c>
      <c r="B62" s="535">
        <v>7.0000000000000007E-2</v>
      </c>
      <c r="C62" s="535"/>
      <c r="D62" s="592"/>
      <c r="E62" s="593"/>
      <c r="F62" s="593"/>
      <c r="G62" s="594"/>
      <c r="H62" s="594"/>
      <c r="I62" s="594"/>
      <c r="J62" s="595"/>
      <c r="K62" s="595"/>
      <c r="L62" s="595"/>
      <c r="M62" s="595"/>
      <c r="N62" s="7"/>
      <c r="O62" s="7"/>
      <c r="P62" s="7"/>
      <c r="Q62" s="7"/>
      <c r="R62" s="7"/>
      <c r="S62" s="7"/>
      <c r="T62" s="7"/>
      <c r="U62" s="7"/>
      <c r="V62" s="7"/>
      <c r="W62" s="2"/>
      <c r="X62" s="2"/>
      <c r="Y62" s="2"/>
      <c r="Z62" s="2"/>
    </row>
    <row r="63" spans="1:26" ht="12.75" customHeight="1" x14ac:dyDescent="0.15">
      <c r="A63" s="1" t="s">
        <v>324</v>
      </c>
      <c r="B63" s="44"/>
      <c r="C63" s="44"/>
      <c r="D63" s="592"/>
      <c r="E63" s="589"/>
      <c r="F63" s="589"/>
      <c r="G63" s="590"/>
      <c r="H63" s="590"/>
      <c r="I63" s="590"/>
      <c r="J63" s="591"/>
      <c r="K63" s="591"/>
      <c r="L63" s="591"/>
      <c r="M63" s="591">
        <f>M61/$B$28</f>
        <v>48761959.538001902</v>
      </c>
      <c r="N63" s="7"/>
      <c r="O63" s="7"/>
      <c r="P63" s="7"/>
      <c r="Q63" s="7"/>
      <c r="R63" s="7"/>
      <c r="S63" s="7"/>
      <c r="T63" s="7"/>
      <c r="U63" s="7"/>
      <c r="V63" s="7"/>
      <c r="W63" s="2"/>
      <c r="X63" s="2"/>
      <c r="Y63" s="2"/>
      <c r="Z63" s="2"/>
    </row>
    <row r="64" spans="1:26" ht="12.75" customHeight="1" x14ac:dyDescent="0.15">
      <c r="A64" s="1" t="s">
        <v>325</v>
      </c>
      <c r="B64" s="44">
        <v>0.03</v>
      </c>
      <c r="C64" s="44"/>
      <c r="D64" s="592"/>
      <c r="E64" s="596"/>
      <c r="F64" s="596"/>
      <c r="G64" s="582"/>
      <c r="H64" s="582"/>
      <c r="I64" s="582"/>
      <c r="J64" s="581"/>
      <c r="K64" s="581"/>
      <c r="L64" s="581"/>
      <c r="M64" s="591">
        <f>M63*B64</f>
        <v>1462858.786140057</v>
      </c>
      <c r="N64" s="7"/>
      <c r="O64" s="7"/>
      <c r="P64" s="7"/>
      <c r="Q64" s="7"/>
      <c r="R64" s="7"/>
      <c r="S64" s="7"/>
      <c r="T64" s="7"/>
      <c r="U64" s="7"/>
      <c r="V64" s="7"/>
      <c r="W64" s="2"/>
      <c r="X64" s="2"/>
      <c r="Y64" s="2"/>
      <c r="Z64" s="2"/>
    </row>
    <row r="65" spans="1:26" ht="12.75" customHeight="1" x14ac:dyDescent="0.15">
      <c r="A65" s="1" t="s">
        <v>170</v>
      </c>
      <c r="B65" s="44"/>
      <c r="C65" s="44"/>
      <c r="D65" s="592">
        <f t="shared" ref="D65:M65" si="26">D59</f>
        <v>0</v>
      </c>
      <c r="E65" s="589">
        <f t="shared" si="26"/>
        <v>-6841699.2000000002</v>
      </c>
      <c r="F65" s="589">
        <f t="shared" si="26"/>
        <v>-7183784.1600000001</v>
      </c>
      <c r="G65" s="590">
        <f t="shared" si="26"/>
        <v>-10057297.824000001</v>
      </c>
      <c r="H65" s="582">
        <f t="shared" si="26"/>
        <v>0</v>
      </c>
      <c r="I65" s="582">
        <f t="shared" si="26"/>
        <v>0</v>
      </c>
      <c r="J65" s="581">
        <f t="shared" si="26"/>
        <v>0</v>
      </c>
      <c r="K65" s="581">
        <f t="shared" si="26"/>
        <v>0</v>
      </c>
      <c r="L65" s="581">
        <f t="shared" si="26"/>
        <v>0</v>
      </c>
      <c r="M65" s="581">
        <f t="shared" si="26"/>
        <v>0</v>
      </c>
      <c r="N65" s="7"/>
      <c r="O65" s="7"/>
      <c r="P65" s="7"/>
      <c r="Q65" s="7"/>
      <c r="R65" s="7"/>
      <c r="S65" s="7"/>
      <c r="T65" s="7"/>
      <c r="U65" s="7"/>
      <c r="V65" s="7"/>
      <c r="W65" s="2"/>
      <c r="X65" s="2"/>
      <c r="Y65" s="2"/>
      <c r="Z65" s="2"/>
    </row>
    <row r="66" spans="1:26" ht="12.75" customHeight="1" x14ac:dyDescent="0.15">
      <c r="A66" s="279" t="s">
        <v>326</v>
      </c>
      <c r="B66" s="282"/>
      <c r="C66" s="282"/>
      <c r="D66" s="597"/>
      <c r="E66" s="569">
        <f t="shared" ref="E66:M66" si="27">SUM(E61:E65)</f>
        <v>-6841699.2000000002</v>
      </c>
      <c r="F66" s="569">
        <f t="shared" si="27"/>
        <v>-6517870.7339925002</v>
      </c>
      <c r="G66" s="570">
        <f t="shared" si="27"/>
        <v>-8558893.7479663994</v>
      </c>
      <c r="H66" s="570">
        <f t="shared" si="27"/>
        <v>2979781.3767970335</v>
      </c>
      <c r="I66" s="570">
        <f t="shared" si="27"/>
        <v>2988911.224821683</v>
      </c>
      <c r="J66" s="571">
        <f t="shared" si="27"/>
        <v>3294148.6951513658</v>
      </c>
      <c r="K66" s="571">
        <f t="shared" si="27"/>
        <v>3627473.745787323</v>
      </c>
      <c r="L66" s="571">
        <f t="shared" si="27"/>
        <v>3991379.2623625533</v>
      </c>
      <c r="M66" s="571">
        <f t="shared" si="27"/>
        <v>54613394.682562128</v>
      </c>
      <c r="N66" s="7"/>
      <c r="O66" s="7"/>
      <c r="P66" s="7"/>
      <c r="Q66" s="7"/>
      <c r="R66" s="7"/>
      <c r="S66" s="7"/>
      <c r="T66" s="7"/>
      <c r="U66" s="7"/>
      <c r="V66" s="7"/>
      <c r="W66" s="2"/>
      <c r="X66" s="2"/>
      <c r="Y66" s="2"/>
      <c r="Z66" s="2"/>
    </row>
    <row r="67" spans="1:26" ht="12.75" customHeight="1" x14ac:dyDescent="0.15">
      <c r="A67" s="92" t="s">
        <v>218</v>
      </c>
      <c r="B67" s="471"/>
      <c r="C67" s="471"/>
      <c r="D67" s="930">
        <f t="array" ref="D67">NPV(B41,E66:M66)</f>
        <v>14598636.52155507</v>
      </c>
      <c r="E67" s="555"/>
      <c r="F67" s="555"/>
      <c r="G67" s="556"/>
      <c r="H67" s="556"/>
      <c r="I67" s="556"/>
      <c r="J67" s="557"/>
      <c r="K67" s="557"/>
      <c r="L67" s="557"/>
      <c r="M67" s="557"/>
      <c r="N67" s="7"/>
      <c r="O67" s="7"/>
      <c r="P67" s="7"/>
      <c r="Q67" s="7"/>
      <c r="R67" s="7"/>
      <c r="S67" s="7"/>
      <c r="T67" s="7"/>
      <c r="U67" s="7"/>
      <c r="V67" s="7"/>
      <c r="W67" s="2"/>
      <c r="X67" s="2"/>
      <c r="Y67" s="2"/>
      <c r="Z67" s="2"/>
    </row>
    <row r="68" spans="1:26" ht="12.75" customHeight="1" x14ac:dyDescent="0.15">
      <c r="A68" s="281" t="s">
        <v>224</v>
      </c>
      <c r="B68" s="283"/>
      <c r="C68" s="283"/>
      <c r="D68" s="931">
        <f>IRR(D66:M66,B41)</f>
        <v>0.21409967082066905</v>
      </c>
      <c r="E68" s="599"/>
      <c r="F68" s="599"/>
      <c r="G68" s="600"/>
      <c r="H68" s="600"/>
      <c r="I68" s="600"/>
      <c r="J68" s="601"/>
      <c r="K68" s="601"/>
      <c r="L68" s="601"/>
      <c r="M68" s="601"/>
      <c r="N68" s="7"/>
      <c r="O68" s="7"/>
      <c r="P68" s="7"/>
      <c r="Q68" s="7"/>
      <c r="R68" s="7"/>
      <c r="S68" s="7"/>
      <c r="T68" s="7"/>
      <c r="U68" s="7"/>
      <c r="V68" s="7"/>
      <c r="W68" s="2"/>
      <c r="X68" s="2"/>
      <c r="Y68" s="2"/>
      <c r="Z68" s="2"/>
    </row>
    <row r="69" spans="1:26" ht="12.75" customHeight="1" x14ac:dyDescent="0.15">
      <c r="A69" s="281" t="s">
        <v>229</v>
      </c>
      <c r="B69" s="283"/>
      <c r="C69" s="283"/>
      <c r="D69" s="602"/>
      <c r="E69" s="599"/>
      <c r="F69" s="599"/>
      <c r="G69" s="600"/>
      <c r="H69" s="600"/>
      <c r="I69" s="600"/>
      <c r="J69" s="601"/>
      <c r="K69" s="601"/>
      <c r="L69" s="601"/>
      <c r="M69" s="601"/>
      <c r="N69" s="7"/>
      <c r="O69" s="7"/>
      <c r="P69" s="7"/>
      <c r="Q69" s="7"/>
      <c r="R69" s="7"/>
      <c r="S69" s="7"/>
      <c r="T69" s="7"/>
      <c r="U69" s="7"/>
      <c r="V69" s="7"/>
      <c r="W69" s="2"/>
      <c r="X69" s="2"/>
      <c r="Y69" s="2"/>
      <c r="Z69" s="2"/>
    </row>
    <row r="70" spans="1:26" ht="12.75" customHeight="1" x14ac:dyDescent="0.15">
      <c r="A70" s="605"/>
      <c r="B70" s="283"/>
      <c r="C70" s="283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7"/>
      <c r="O70" s="7"/>
      <c r="P70" s="7"/>
      <c r="Q70" s="7"/>
      <c r="R70" s="7"/>
      <c r="S70" s="7"/>
      <c r="T70" s="7"/>
      <c r="U70" s="7"/>
      <c r="V70" s="7"/>
      <c r="W70" s="2"/>
      <c r="X70" s="2"/>
      <c r="Y70" s="2"/>
      <c r="Z70" s="2"/>
    </row>
    <row r="71" spans="1:26" ht="12.75" customHeight="1" x14ac:dyDescent="0.15">
      <c r="A71" s="606" t="s">
        <v>235</v>
      </c>
      <c r="B71" s="16"/>
      <c r="C71" s="16" t="s">
        <v>18</v>
      </c>
      <c r="D71" s="15" t="s">
        <v>19</v>
      </c>
      <c r="E71" s="17" t="s">
        <v>20</v>
      </c>
      <c r="F71" s="17"/>
      <c r="G71" s="18" t="s">
        <v>20</v>
      </c>
      <c r="H71" s="19"/>
      <c r="I71" s="18"/>
      <c r="J71" s="20" t="s">
        <v>22</v>
      </c>
      <c r="K71" s="21"/>
      <c r="L71" s="21"/>
      <c r="M71" s="21"/>
      <c r="N71" s="7"/>
      <c r="O71" s="7"/>
      <c r="P71" s="7"/>
      <c r="Q71" s="7"/>
      <c r="R71" s="7"/>
      <c r="S71" s="7"/>
      <c r="T71" s="7"/>
      <c r="U71" s="7"/>
      <c r="V71" s="7"/>
      <c r="W71" s="2"/>
      <c r="X71" s="2"/>
      <c r="Y71" s="2"/>
      <c r="Z71" s="2"/>
    </row>
    <row r="72" spans="1:26" ht="12.75" customHeight="1" x14ac:dyDescent="0.15">
      <c r="A72" s="86"/>
      <c r="B72" s="27" t="s">
        <v>25</v>
      </c>
      <c r="C72" s="27" t="s">
        <v>24</v>
      </c>
      <c r="D72" s="470">
        <v>2019</v>
      </c>
      <c r="E72" s="29">
        <f t="shared" ref="E72:M72" si="28">D72+1</f>
        <v>2020</v>
      </c>
      <c r="F72" s="29">
        <f t="shared" si="28"/>
        <v>2021</v>
      </c>
      <c r="G72" s="31">
        <f t="shared" si="28"/>
        <v>2022</v>
      </c>
      <c r="H72" s="31">
        <f t="shared" si="28"/>
        <v>2023</v>
      </c>
      <c r="I72" s="31">
        <f t="shared" si="28"/>
        <v>2024</v>
      </c>
      <c r="J72" s="33">
        <f t="shared" si="28"/>
        <v>2025</v>
      </c>
      <c r="K72" s="33">
        <f t="shared" si="28"/>
        <v>2026</v>
      </c>
      <c r="L72" s="33">
        <f t="shared" si="28"/>
        <v>2027</v>
      </c>
      <c r="M72" s="33">
        <f t="shared" si="28"/>
        <v>2028</v>
      </c>
      <c r="N72" s="7"/>
      <c r="O72" s="7"/>
      <c r="P72" s="7"/>
      <c r="Q72" s="7"/>
      <c r="R72" s="7"/>
      <c r="S72" s="7"/>
      <c r="T72" s="7"/>
      <c r="U72" s="7"/>
      <c r="V72" s="7"/>
      <c r="W72" s="2"/>
      <c r="X72" s="2"/>
      <c r="Y72" s="2"/>
      <c r="Z72" s="2"/>
    </row>
    <row r="73" spans="1:26" ht="12.75" customHeight="1" x14ac:dyDescent="0.15">
      <c r="A73" s="92" t="s">
        <v>302</v>
      </c>
      <c r="B73" s="16"/>
      <c r="C73" s="16"/>
      <c r="D73" s="222"/>
      <c r="E73" s="224"/>
      <c r="F73" s="224"/>
      <c r="G73" s="227"/>
      <c r="H73" s="227"/>
      <c r="I73" s="227"/>
      <c r="J73" s="128"/>
      <c r="K73" s="128"/>
      <c r="L73" s="128"/>
      <c r="M73" s="128"/>
      <c r="N73" s="7"/>
      <c r="O73" s="7"/>
      <c r="P73" s="7"/>
      <c r="Q73" s="7"/>
      <c r="R73" s="7"/>
      <c r="S73" s="7"/>
      <c r="T73" s="7"/>
      <c r="U73" s="7"/>
      <c r="V73" s="7"/>
      <c r="W73" s="2"/>
      <c r="X73" s="2"/>
      <c r="Y73" s="2"/>
      <c r="Z73" s="2"/>
    </row>
    <row r="74" spans="1:26" ht="12.75" customHeight="1" x14ac:dyDescent="0.15">
      <c r="A74" s="1" t="s">
        <v>244</v>
      </c>
      <c r="B74" s="275">
        <v>3.5000000000000003E-2</v>
      </c>
      <c r="C74" s="44"/>
      <c r="D74" s="71"/>
      <c r="E74" s="82"/>
      <c r="F74" s="82"/>
      <c r="G74" s="65"/>
      <c r="H74" s="65"/>
      <c r="I74" s="65"/>
      <c r="J74" s="47"/>
      <c r="K74" s="47"/>
      <c r="L74" s="47"/>
      <c r="M74" s="47"/>
      <c r="N74" s="7"/>
      <c r="O74" s="7"/>
      <c r="P74" s="7"/>
      <c r="Q74" s="7"/>
      <c r="R74" s="7"/>
      <c r="S74" s="7"/>
      <c r="T74" s="7"/>
      <c r="U74" s="7"/>
      <c r="V74" s="7"/>
      <c r="W74" s="2"/>
      <c r="X74" s="2"/>
      <c r="Y74" s="2"/>
      <c r="Z74" s="2"/>
    </row>
    <row r="75" spans="1:26" ht="12.75" customHeight="1" x14ac:dyDescent="0.15">
      <c r="A75" s="1" t="s">
        <v>344</v>
      </c>
      <c r="B75" s="471">
        <v>0.1</v>
      </c>
      <c r="C75" s="471"/>
      <c r="D75" s="472"/>
      <c r="E75" s="473"/>
      <c r="F75" s="473"/>
      <c r="G75" s="474"/>
      <c r="H75" s="474"/>
      <c r="I75" s="474"/>
      <c r="J75" s="475"/>
      <c r="K75" s="475"/>
      <c r="L75" s="475"/>
      <c r="M75" s="475"/>
      <c r="N75" s="7"/>
      <c r="O75" s="7"/>
      <c r="P75" s="7"/>
      <c r="Q75" s="7"/>
      <c r="R75" s="7"/>
      <c r="S75" s="7"/>
      <c r="T75" s="7"/>
      <c r="U75" s="7"/>
      <c r="V75" s="7"/>
      <c r="W75" s="2"/>
      <c r="X75" s="2"/>
      <c r="Y75" s="2"/>
      <c r="Z75" s="2"/>
    </row>
    <row r="76" spans="1:26" ht="12.75" customHeight="1" x14ac:dyDescent="0.15">
      <c r="A76" s="1" t="s">
        <v>345</v>
      </c>
      <c r="B76" s="471">
        <v>0.95</v>
      </c>
      <c r="C76" s="471"/>
      <c r="D76" s="472"/>
      <c r="E76" s="473"/>
      <c r="F76" s="473"/>
      <c r="G76" s="474"/>
      <c r="H76" s="474"/>
      <c r="I76" s="474"/>
      <c r="J76" s="475"/>
      <c r="K76" s="475"/>
      <c r="L76" s="475"/>
      <c r="M76" s="475"/>
      <c r="N76" s="7"/>
      <c r="O76" s="7"/>
      <c r="P76" s="7"/>
      <c r="Q76" s="7"/>
      <c r="R76" s="7"/>
      <c r="S76" s="7"/>
      <c r="T76" s="7"/>
      <c r="U76" s="7"/>
      <c r="V76" s="7"/>
      <c r="W76" s="2"/>
      <c r="X76" s="2"/>
      <c r="Y76" s="2"/>
      <c r="Z76" s="2"/>
    </row>
    <row r="77" spans="1:26" ht="12.75" customHeight="1" x14ac:dyDescent="0.15">
      <c r="A77" s="35" t="s">
        <v>304</v>
      </c>
      <c r="B77" s="44">
        <v>0.9</v>
      </c>
      <c r="C77" s="471"/>
      <c r="D77" s="472"/>
      <c r="E77" s="473"/>
      <c r="F77" s="473"/>
      <c r="G77" s="474"/>
      <c r="H77" s="474"/>
      <c r="I77" s="474"/>
      <c r="J77" s="475"/>
      <c r="K77" s="475"/>
      <c r="L77" s="475"/>
      <c r="M77" s="475"/>
      <c r="N77" s="7"/>
      <c r="O77" s="7"/>
      <c r="P77" s="7"/>
      <c r="Q77" s="7"/>
      <c r="R77" s="7"/>
      <c r="S77" s="7"/>
      <c r="T77" s="7"/>
      <c r="U77" s="7"/>
      <c r="V77" s="7"/>
      <c r="W77" s="2"/>
      <c r="X77" s="2"/>
      <c r="Y77" s="2"/>
      <c r="Z77" s="2"/>
    </row>
    <row r="78" spans="1:26" ht="12.75" customHeight="1" x14ac:dyDescent="0.15">
      <c r="A78" s="35" t="s">
        <v>346</v>
      </c>
      <c r="B78" s="44">
        <v>0.7</v>
      </c>
      <c r="C78" s="471"/>
      <c r="D78" s="550"/>
      <c r="E78" s="551"/>
      <c r="F78" s="551"/>
      <c r="G78" s="552">
        <f>B78</f>
        <v>0.7</v>
      </c>
      <c r="H78" s="552">
        <f t="shared" ref="H78:M78" si="29">G78*1.05</f>
        <v>0.73499999999999999</v>
      </c>
      <c r="I78" s="552">
        <f t="shared" si="29"/>
        <v>0.77175000000000005</v>
      </c>
      <c r="J78" s="553">
        <f t="shared" si="29"/>
        <v>0.81033750000000004</v>
      </c>
      <c r="K78" s="553">
        <f t="shared" si="29"/>
        <v>0.85085437500000005</v>
      </c>
      <c r="L78" s="553">
        <f t="shared" si="29"/>
        <v>0.89339709375000009</v>
      </c>
      <c r="M78" s="553">
        <f t="shared" si="29"/>
        <v>0.93806694843750016</v>
      </c>
      <c r="N78" s="7"/>
      <c r="O78" s="7"/>
      <c r="P78" s="7"/>
      <c r="Q78" s="7"/>
      <c r="R78" s="7"/>
      <c r="S78" s="7"/>
      <c r="T78" s="7"/>
      <c r="U78" s="7"/>
      <c r="V78" s="7"/>
      <c r="W78" s="2"/>
      <c r="X78" s="2"/>
      <c r="Y78" s="2"/>
      <c r="Z78" s="2"/>
    </row>
    <row r="79" spans="1:26" ht="12.75" customHeight="1" x14ac:dyDescent="0.15">
      <c r="A79" s="35" t="s">
        <v>56</v>
      </c>
      <c r="B79" s="44">
        <v>0.2</v>
      </c>
      <c r="C79" s="471"/>
      <c r="D79" s="472"/>
      <c r="E79" s="473"/>
      <c r="F79" s="473"/>
      <c r="G79" s="474"/>
      <c r="H79" s="474"/>
      <c r="I79" s="474"/>
      <c r="J79" s="475"/>
      <c r="K79" s="475"/>
      <c r="L79" s="475"/>
      <c r="M79" s="475"/>
      <c r="N79" s="7"/>
      <c r="O79" s="7"/>
      <c r="P79" s="7"/>
      <c r="Q79" s="7"/>
      <c r="R79" s="7"/>
      <c r="S79" s="7"/>
      <c r="T79" s="7"/>
      <c r="U79" s="7"/>
      <c r="V79" s="7"/>
      <c r="W79" s="2"/>
      <c r="X79" s="2"/>
      <c r="Y79" s="2"/>
      <c r="Z79" s="2"/>
    </row>
    <row r="80" spans="1:26" ht="12.75" customHeight="1" x14ac:dyDescent="0.15">
      <c r="A80" s="35" t="s">
        <v>333</v>
      </c>
      <c r="B80" s="280">
        <f>'Project Data'!$P$147</f>
        <v>116510</v>
      </c>
      <c r="C80" s="280"/>
      <c r="D80" s="554"/>
      <c r="E80" s="555"/>
      <c r="F80" s="555"/>
      <c r="G80" s="556"/>
      <c r="H80" s="556"/>
      <c r="I80" s="556"/>
      <c r="J80" s="557"/>
      <c r="K80" s="557"/>
      <c r="L80" s="557"/>
      <c r="M80" s="557"/>
      <c r="N80" s="7"/>
      <c r="O80" s="7"/>
      <c r="P80" s="7"/>
      <c r="Q80" s="7"/>
      <c r="R80" s="7"/>
      <c r="S80" s="7"/>
      <c r="T80" s="7"/>
      <c r="U80" s="7"/>
      <c r="V80" s="7"/>
      <c r="W80" s="2"/>
      <c r="X80" s="2"/>
      <c r="Y80" s="2"/>
      <c r="Z80" s="2"/>
    </row>
    <row r="81" spans="1:26" ht="12.75" customHeight="1" x14ac:dyDescent="0.15">
      <c r="A81" s="35" t="s">
        <v>307</v>
      </c>
      <c r="B81" s="558">
        <v>120</v>
      </c>
      <c r="C81" s="16"/>
      <c r="D81" s="559"/>
      <c r="E81" s="560"/>
      <c r="F81" s="560"/>
      <c r="G81" s="561"/>
      <c r="H81" s="561"/>
      <c r="I81" s="561"/>
      <c r="J81" s="562"/>
      <c r="K81" s="562"/>
      <c r="L81" s="562"/>
      <c r="M81" s="562"/>
      <c r="N81" s="7"/>
      <c r="O81" s="7"/>
      <c r="P81" s="7"/>
      <c r="Q81" s="7"/>
      <c r="R81" s="7"/>
      <c r="S81" s="7"/>
      <c r="T81" s="7"/>
      <c r="U81" s="7"/>
      <c r="V81" s="7"/>
      <c r="W81" s="2"/>
      <c r="X81" s="2"/>
      <c r="Y81" s="2"/>
      <c r="Z81" s="2"/>
    </row>
    <row r="82" spans="1:26" ht="12.75" customHeight="1" x14ac:dyDescent="0.15">
      <c r="A82" s="35" t="s">
        <v>347</v>
      </c>
      <c r="B82" s="558">
        <f>'Project Data'!$B$71</f>
        <v>20.9</v>
      </c>
      <c r="C82" s="16"/>
      <c r="D82" s="559"/>
      <c r="E82" s="560">
        <f t="shared" ref="E82:E83" si="30">B82</f>
        <v>20.9</v>
      </c>
      <c r="F82" s="563">
        <f t="shared" ref="F82:M82" si="31">E82*(1+$B$6)</f>
        <v>21.631499999999996</v>
      </c>
      <c r="G82" s="564">
        <f t="shared" si="31"/>
        <v>22.388602499999994</v>
      </c>
      <c r="H82" s="564">
        <f t="shared" si="31"/>
        <v>23.172203587499993</v>
      </c>
      <c r="I82" s="564">
        <f t="shared" si="31"/>
        <v>23.98323071306249</v>
      </c>
      <c r="J82" s="565">
        <f t="shared" si="31"/>
        <v>24.822643788019676</v>
      </c>
      <c r="K82" s="565">
        <f t="shared" si="31"/>
        <v>25.691436320600364</v>
      </c>
      <c r="L82" s="565">
        <f t="shared" si="31"/>
        <v>26.590636591821376</v>
      </c>
      <c r="M82" s="565">
        <f t="shared" si="31"/>
        <v>27.521308872535123</v>
      </c>
      <c r="N82" s="7"/>
      <c r="O82" s="7"/>
      <c r="P82" s="7"/>
      <c r="Q82" s="7"/>
      <c r="R82" s="7"/>
      <c r="S82" s="7"/>
      <c r="T82" s="7"/>
      <c r="U82" s="7"/>
      <c r="V82" s="7"/>
      <c r="W82" s="2"/>
      <c r="X82" s="2"/>
      <c r="Y82" s="2"/>
      <c r="Z82" s="2"/>
    </row>
    <row r="83" spans="1:26" ht="12.75" customHeight="1" x14ac:dyDescent="0.15">
      <c r="A83" s="63" t="s">
        <v>309</v>
      </c>
      <c r="B83" s="566">
        <v>3</v>
      </c>
      <c r="C83" s="25"/>
      <c r="D83" s="567"/>
      <c r="E83" s="568">
        <f t="shared" si="30"/>
        <v>3</v>
      </c>
      <c r="F83" s="569">
        <f t="shared" ref="F83:M83" si="32">E83*(1+$B$6)</f>
        <v>3.1049999999999995</v>
      </c>
      <c r="G83" s="570">
        <f t="shared" si="32"/>
        <v>3.2136749999999994</v>
      </c>
      <c r="H83" s="570">
        <f t="shared" si="32"/>
        <v>3.326153624999999</v>
      </c>
      <c r="I83" s="570">
        <f t="shared" si="32"/>
        <v>3.4425690018749986</v>
      </c>
      <c r="J83" s="571">
        <f t="shared" si="32"/>
        <v>3.5630589169406233</v>
      </c>
      <c r="K83" s="571">
        <f t="shared" si="32"/>
        <v>3.6877659790335446</v>
      </c>
      <c r="L83" s="571">
        <f t="shared" si="32"/>
        <v>3.8168377882997184</v>
      </c>
      <c r="M83" s="571">
        <f t="shared" si="32"/>
        <v>3.9504271108902085</v>
      </c>
      <c r="N83" s="7"/>
      <c r="O83" s="7"/>
      <c r="P83" s="7"/>
      <c r="Q83" s="7"/>
      <c r="R83" s="7"/>
      <c r="S83" s="7"/>
      <c r="T83" s="7"/>
      <c r="U83" s="7"/>
      <c r="V83" s="7"/>
      <c r="W83" s="2"/>
      <c r="X83" s="2"/>
      <c r="Y83" s="2"/>
      <c r="Z83" s="2"/>
    </row>
    <row r="84" spans="1:26" ht="12.75" customHeight="1" x14ac:dyDescent="0.15">
      <c r="A84" s="92" t="s">
        <v>30</v>
      </c>
      <c r="B84" s="16"/>
      <c r="C84" s="16"/>
      <c r="D84" s="572"/>
      <c r="E84" s="563"/>
      <c r="F84" s="563"/>
      <c r="G84" s="564"/>
      <c r="H84" s="564"/>
      <c r="I84" s="564"/>
      <c r="J84" s="565"/>
      <c r="K84" s="565"/>
      <c r="L84" s="565"/>
      <c r="M84" s="565"/>
      <c r="N84" s="7"/>
      <c r="O84" s="7"/>
      <c r="P84" s="7"/>
      <c r="Q84" s="7"/>
      <c r="R84" s="7"/>
      <c r="S84" s="7"/>
      <c r="T84" s="7"/>
      <c r="U84" s="7"/>
      <c r="V84" s="7"/>
      <c r="W84" s="2"/>
      <c r="X84" s="2"/>
      <c r="Y84" s="2"/>
      <c r="Z84" s="2"/>
    </row>
    <row r="85" spans="1:26" ht="12.75" customHeight="1" x14ac:dyDescent="0.15">
      <c r="A85" s="35" t="s">
        <v>348</v>
      </c>
      <c r="B85" s="16"/>
      <c r="C85" s="16"/>
      <c r="D85" s="572"/>
      <c r="E85" s="563"/>
      <c r="F85" s="563"/>
      <c r="G85" s="564">
        <f t="shared" ref="G85:M85" si="33">$B$77*G82*G78*$B$80</f>
        <v>1643352.5286832494</v>
      </c>
      <c r="H85" s="564">
        <f t="shared" si="33"/>
        <v>1785913.3605465214</v>
      </c>
      <c r="I85" s="564">
        <f t="shared" si="33"/>
        <v>1940841.344573932</v>
      </c>
      <c r="J85" s="565">
        <f t="shared" si="33"/>
        <v>2109209.3312157202</v>
      </c>
      <c r="K85" s="565">
        <f t="shared" si="33"/>
        <v>2292183.240698684</v>
      </c>
      <c r="L85" s="565">
        <f t="shared" si="33"/>
        <v>2491030.1368292952</v>
      </c>
      <c r="M85" s="565">
        <f t="shared" si="33"/>
        <v>2707127.0011992366</v>
      </c>
      <c r="N85" s="7"/>
      <c r="O85" s="7"/>
      <c r="P85" s="7"/>
      <c r="Q85" s="7"/>
      <c r="R85" s="7"/>
      <c r="S85" s="7"/>
      <c r="T85" s="7"/>
      <c r="U85" s="7"/>
      <c r="V85" s="7"/>
      <c r="W85" s="2"/>
      <c r="X85" s="2"/>
      <c r="Y85" s="2"/>
      <c r="Z85" s="2"/>
    </row>
    <row r="86" spans="1:26" ht="12.75" customHeight="1" x14ac:dyDescent="0.15">
      <c r="A86" s="573" t="s">
        <v>349</v>
      </c>
      <c r="B86" s="16"/>
      <c r="C86" s="574"/>
      <c r="D86" s="575"/>
      <c r="E86" s="563"/>
      <c r="F86" s="563"/>
      <c r="G86" s="564">
        <f t="shared" ref="G86:M86" si="34">G83*$B$76*$B$80</f>
        <v>355704.01053749991</v>
      </c>
      <c r="H86" s="564">
        <f t="shared" si="34"/>
        <v>368153.65090631234</v>
      </c>
      <c r="I86" s="564">
        <f t="shared" si="34"/>
        <v>381039.02868803329</v>
      </c>
      <c r="J86" s="565">
        <f t="shared" si="34"/>
        <v>394375.39469211438</v>
      </c>
      <c r="K86" s="565">
        <f t="shared" si="34"/>
        <v>408178.53350633837</v>
      </c>
      <c r="L86" s="565">
        <f t="shared" si="34"/>
        <v>422464.78217906016</v>
      </c>
      <c r="M86" s="565">
        <f t="shared" si="34"/>
        <v>437251.04955532722</v>
      </c>
      <c r="N86" s="7"/>
      <c r="O86" s="7"/>
      <c r="P86" s="7"/>
      <c r="Q86" s="7"/>
      <c r="R86" s="7"/>
      <c r="S86" s="7"/>
      <c r="T86" s="7"/>
      <c r="U86" s="7"/>
      <c r="V86" s="7"/>
      <c r="W86" s="2"/>
      <c r="X86" s="2"/>
      <c r="Y86" s="2"/>
      <c r="Z86" s="2"/>
    </row>
    <row r="87" spans="1:26" ht="12.75" customHeight="1" x14ac:dyDescent="0.15">
      <c r="A87" s="277" t="s">
        <v>177</v>
      </c>
      <c r="B87" s="283"/>
      <c r="C87" s="283"/>
      <c r="D87" s="567"/>
      <c r="E87" s="568"/>
      <c r="F87" s="568"/>
      <c r="G87" s="576">
        <f t="shared" ref="G87:M87" si="35">G85-G86</f>
        <v>1287648.5181457493</v>
      </c>
      <c r="H87" s="576">
        <f t="shared" si="35"/>
        <v>1417759.7096402091</v>
      </c>
      <c r="I87" s="576">
        <f t="shared" si="35"/>
        <v>1559802.3158858987</v>
      </c>
      <c r="J87" s="577">
        <f t="shared" si="35"/>
        <v>1714833.9365236058</v>
      </c>
      <c r="K87" s="577">
        <f t="shared" si="35"/>
        <v>1884004.7071923455</v>
      </c>
      <c r="L87" s="577">
        <f t="shared" si="35"/>
        <v>2068565.354650235</v>
      </c>
      <c r="M87" s="577">
        <f t="shared" si="35"/>
        <v>2269875.9516439093</v>
      </c>
      <c r="N87" s="7"/>
      <c r="O87" s="7"/>
      <c r="P87" s="7"/>
      <c r="Q87" s="7"/>
      <c r="R87" s="7"/>
      <c r="S87" s="7"/>
      <c r="T87" s="7"/>
      <c r="U87" s="7"/>
      <c r="V87" s="7"/>
      <c r="W87" s="2"/>
      <c r="X87" s="2"/>
      <c r="Y87" s="2"/>
      <c r="Z87" s="2"/>
    </row>
    <row r="88" spans="1:26" ht="12.75" customHeight="1" x14ac:dyDescent="0.15">
      <c r="A88" s="92" t="s">
        <v>106</v>
      </c>
      <c r="B88" s="280"/>
      <c r="C88" s="280"/>
      <c r="D88" s="554"/>
      <c r="E88" s="555"/>
      <c r="F88" s="555"/>
      <c r="G88" s="556"/>
      <c r="H88" s="556"/>
      <c r="I88" s="556"/>
      <c r="J88" s="557"/>
      <c r="K88" s="557"/>
      <c r="L88" s="557"/>
      <c r="M88" s="557"/>
      <c r="N88" s="7"/>
      <c r="O88" s="7"/>
      <c r="P88" s="7"/>
      <c r="Q88" s="7"/>
      <c r="R88" s="7"/>
      <c r="S88" s="7"/>
      <c r="T88" s="7"/>
      <c r="U88" s="7"/>
      <c r="V88" s="7"/>
      <c r="W88" s="2"/>
      <c r="X88" s="2"/>
      <c r="Y88" s="2"/>
      <c r="Z88" s="2"/>
    </row>
    <row r="89" spans="1:26" ht="12.75" customHeight="1" x14ac:dyDescent="0.15">
      <c r="A89" s="1" t="s">
        <v>320</v>
      </c>
      <c r="B89" s="267"/>
      <c r="C89" s="267"/>
      <c r="D89" s="578"/>
      <c r="E89" s="596"/>
      <c r="F89" s="579">
        <v>1</v>
      </c>
      <c r="G89" s="580"/>
      <c r="H89" s="580"/>
      <c r="I89" s="582"/>
      <c r="J89" s="581"/>
      <c r="K89" s="581"/>
      <c r="L89" s="581"/>
      <c r="M89" s="581"/>
      <c r="N89" s="7"/>
      <c r="O89" s="7"/>
      <c r="P89" s="7"/>
      <c r="Q89" s="7"/>
      <c r="R89" s="7"/>
      <c r="S89" s="7"/>
      <c r="T89" s="7"/>
      <c r="U89" s="7"/>
      <c r="V89" s="7"/>
      <c r="W89" s="2"/>
      <c r="X89" s="2"/>
      <c r="Y89" s="2"/>
      <c r="Z89" s="2"/>
    </row>
    <row r="90" spans="1:26" ht="13.5" customHeight="1" x14ac:dyDescent="0.15">
      <c r="A90" s="1" t="s">
        <v>335</v>
      </c>
      <c r="B90" s="267"/>
      <c r="C90" s="44"/>
      <c r="D90" s="523">
        <f>D89</f>
        <v>0</v>
      </c>
      <c r="E90" s="524">
        <f t="shared" ref="E90:M90" si="36">D90+E89</f>
        <v>0</v>
      </c>
      <c r="F90" s="524">
        <f t="shared" si="36"/>
        <v>1</v>
      </c>
      <c r="G90" s="525">
        <f t="shared" si="36"/>
        <v>1</v>
      </c>
      <c r="H90" s="525">
        <f t="shared" si="36"/>
        <v>1</v>
      </c>
      <c r="I90" s="525">
        <f t="shared" si="36"/>
        <v>1</v>
      </c>
      <c r="J90" s="522">
        <f t="shared" si="36"/>
        <v>1</v>
      </c>
      <c r="K90" s="522">
        <f t="shared" si="36"/>
        <v>1</v>
      </c>
      <c r="L90" s="522">
        <f t="shared" si="36"/>
        <v>1</v>
      </c>
      <c r="M90" s="522">
        <f t="shared" si="36"/>
        <v>1</v>
      </c>
      <c r="N90" s="7"/>
      <c r="O90" s="7"/>
      <c r="P90" s="7"/>
      <c r="Q90" s="7"/>
      <c r="R90" s="7"/>
      <c r="S90" s="7"/>
      <c r="T90" s="7"/>
      <c r="U90" s="7"/>
      <c r="V90" s="7"/>
      <c r="W90" s="2"/>
      <c r="X90" s="2"/>
      <c r="Y90" s="2"/>
      <c r="Z90" s="2"/>
    </row>
    <row r="91" spans="1:26" ht="12.75" customHeight="1" x14ac:dyDescent="0.15">
      <c r="A91" s="1" t="s">
        <v>350</v>
      </c>
      <c r="B91" s="267"/>
      <c r="C91" s="267"/>
      <c r="D91" s="578"/>
      <c r="E91" s="596"/>
      <c r="F91" s="563">
        <f>-B80*B81</f>
        <v>-13981200</v>
      </c>
      <c r="G91" s="582"/>
      <c r="H91" s="582"/>
      <c r="I91" s="582"/>
      <c r="J91" s="581"/>
      <c r="K91" s="581"/>
      <c r="L91" s="581"/>
      <c r="M91" s="581"/>
      <c r="N91" s="7"/>
      <c r="O91" s="7"/>
      <c r="P91" s="7"/>
      <c r="Q91" s="7"/>
      <c r="R91" s="7"/>
      <c r="S91" s="7"/>
      <c r="T91" s="7"/>
      <c r="U91" s="7"/>
      <c r="V91" s="7"/>
      <c r="W91" s="2"/>
      <c r="X91" s="2"/>
      <c r="Y91" s="2"/>
      <c r="Z91" s="2"/>
    </row>
    <row r="92" spans="1:26" ht="12.75" customHeight="1" x14ac:dyDescent="0.15">
      <c r="A92" s="1" t="s">
        <v>351</v>
      </c>
      <c r="B92" s="535">
        <v>0.2</v>
      </c>
      <c r="C92" s="267"/>
      <c r="D92" s="578"/>
      <c r="E92" s="596"/>
      <c r="F92" s="563">
        <f>B92*F91</f>
        <v>-2796240</v>
      </c>
      <c r="G92" s="582"/>
      <c r="H92" s="582"/>
      <c r="I92" s="582"/>
      <c r="J92" s="581"/>
      <c r="K92" s="581"/>
      <c r="L92" s="581"/>
      <c r="M92" s="581"/>
      <c r="N92" s="7"/>
      <c r="O92" s="7"/>
      <c r="P92" s="7"/>
      <c r="Q92" s="7"/>
      <c r="R92" s="7"/>
      <c r="S92" s="7"/>
      <c r="T92" s="7"/>
      <c r="U92" s="7"/>
      <c r="V92" s="7"/>
      <c r="W92" s="2"/>
      <c r="X92" s="2"/>
      <c r="Y92" s="2"/>
      <c r="Z92" s="2"/>
    </row>
    <row r="93" spans="1:26" ht="12.75" customHeight="1" x14ac:dyDescent="0.15">
      <c r="A93" s="277" t="s">
        <v>170</v>
      </c>
      <c r="B93" s="25"/>
      <c r="C93" s="283"/>
      <c r="D93" s="583"/>
      <c r="E93" s="607"/>
      <c r="F93" s="569">
        <f>SUM(F91:F92)</f>
        <v>-16777440</v>
      </c>
      <c r="G93" s="585"/>
      <c r="H93" s="585"/>
      <c r="I93" s="585"/>
      <c r="J93" s="586"/>
      <c r="K93" s="586"/>
      <c r="L93" s="586"/>
      <c r="M93" s="586"/>
      <c r="N93" s="7"/>
      <c r="O93" s="7"/>
      <c r="P93" s="7"/>
      <c r="Q93" s="7"/>
      <c r="R93" s="7"/>
      <c r="S93" s="7"/>
      <c r="T93" s="7"/>
      <c r="U93" s="7"/>
      <c r="V93" s="7"/>
      <c r="W93" s="2"/>
      <c r="X93" s="2"/>
      <c r="Y93" s="2"/>
      <c r="Z93" s="2"/>
    </row>
    <row r="94" spans="1:26" ht="12.75" customHeight="1" x14ac:dyDescent="0.15">
      <c r="A94" s="92" t="s">
        <v>174</v>
      </c>
      <c r="B94" s="280"/>
      <c r="C94" s="280"/>
      <c r="D94" s="554"/>
      <c r="E94" s="555"/>
      <c r="F94" s="555"/>
      <c r="G94" s="556"/>
      <c r="H94" s="556"/>
      <c r="I94" s="556"/>
      <c r="J94" s="557"/>
      <c r="K94" s="557"/>
      <c r="L94" s="557"/>
      <c r="M94" s="557"/>
      <c r="N94" s="7"/>
      <c r="O94" s="7"/>
      <c r="P94" s="7"/>
      <c r="Q94" s="7"/>
      <c r="R94" s="7"/>
      <c r="S94" s="7"/>
      <c r="T94" s="7"/>
      <c r="U94" s="7"/>
      <c r="V94" s="7"/>
      <c r="W94" s="2"/>
      <c r="X94" s="2"/>
      <c r="Y94" s="2"/>
      <c r="Z94" s="2"/>
    </row>
    <row r="95" spans="1:26" ht="12.75" customHeight="1" x14ac:dyDescent="0.15">
      <c r="A95" s="1" t="s">
        <v>177</v>
      </c>
      <c r="B95" s="587"/>
      <c r="C95" s="587"/>
      <c r="D95" s="588"/>
      <c r="E95" s="589">
        <f t="shared" ref="E95:M95" si="37">E87</f>
        <v>0</v>
      </c>
      <c r="F95" s="589">
        <f t="shared" si="37"/>
        <v>0</v>
      </c>
      <c r="G95" s="590">
        <f t="shared" si="37"/>
        <v>1287648.5181457493</v>
      </c>
      <c r="H95" s="590">
        <f t="shared" si="37"/>
        <v>1417759.7096402091</v>
      </c>
      <c r="I95" s="590">
        <f t="shared" si="37"/>
        <v>1559802.3158858987</v>
      </c>
      <c r="J95" s="591">
        <f t="shared" si="37"/>
        <v>1714833.9365236058</v>
      </c>
      <c r="K95" s="591">
        <f t="shared" si="37"/>
        <v>1884004.7071923455</v>
      </c>
      <c r="L95" s="591">
        <f t="shared" si="37"/>
        <v>2068565.354650235</v>
      </c>
      <c r="M95" s="591">
        <f t="shared" si="37"/>
        <v>2269875.9516439093</v>
      </c>
      <c r="N95" s="7"/>
      <c r="O95" s="7"/>
      <c r="P95" s="7"/>
      <c r="Q95" s="7"/>
      <c r="R95" s="7"/>
      <c r="S95" s="7"/>
      <c r="T95" s="7"/>
      <c r="U95" s="7"/>
      <c r="V95" s="7"/>
      <c r="W95" s="2"/>
      <c r="X95" s="2"/>
      <c r="Y95" s="2"/>
      <c r="Z95" s="2"/>
    </row>
    <row r="96" spans="1:26" ht="12.75" customHeight="1" x14ac:dyDescent="0.15">
      <c r="A96" s="1" t="s">
        <v>344</v>
      </c>
      <c r="B96" s="535">
        <v>7.0000000000000007E-2</v>
      </c>
      <c r="C96" s="535"/>
      <c r="D96" s="592"/>
      <c r="E96" s="593"/>
      <c r="F96" s="593"/>
      <c r="G96" s="594"/>
      <c r="H96" s="594"/>
      <c r="I96" s="594"/>
      <c r="J96" s="595"/>
      <c r="K96" s="595"/>
      <c r="L96" s="595"/>
      <c r="M96" s="595"/>
      <c r="N96" s="7"/>
      <c r="O96" s="7"/>
      <c r="P96" s="7"/>
      <c r="Q96" s="7"/>
      <c r="R96" s="7"/>
      <c r="S96" s="7"/>
      <c r="T96" s="7"/>
      <c r="U96" s="7"/>
      <c r="V96" s="7"/>
      <c r="W96" s="2"/>
      <c r="X96" s="2"/>
      <c r="Y96" s="2"/>
      <c r="Z96" s="2"/>
    </row>
    <row r="97" spans="1:26" ht="12.75" customHeight="1" x14ac:dyDescent="0.15">
      <c r="A97" s="1" t="s">
        <v>324</v>
      </c>
      <c r="B97" s="44"/>
      <c r="C97" s="44"/>
      <c r="D97" s="592"/>
      <c r="E97" s="589"/>
      <c r="F97" s="589"/>
      <c r="G97" s="590"/>
      <c r="H97" s="590"/>
      <c r="I97" s="590"/>
      <c r="J97" s="591"/>
      <c r="K97" s="591"/>
      <c r="L97" s="591"/>
      <c r="M97" s="591">
        <f>M95/$B$28</f>
        <v>25220843.907154549</v>
      </c>
      <c r="N97" s="7"/>
      <c r="O97" s="7"/>
      <c r="P97" s="7"/>
      <c r="Q97" s="7"/>
      <c r="R97" s="7"/>
      <c r="S97" s="7"/>
      <c r="T97" s="7"/>
      <c r="U97" s="7"/>
      <c r="V97" s="7"/>
      <c r="W97" s="2"/>
      <c r="X97" s="2"/>
      <c r="Y97" s="2"/>
      <c r="Z97" s="2"/>
    </row>
    <row r="98" spans="1:26" ht="12.75" customHeight="1" x14ac:dyDescent="0.15">
      <c r="A98" s="1" t="s">
        <v>325</v>
      </c>
      <c r="B98" s="44">
        <v>0.03</v>
      </c>
      <c r="C98" s="44"/>
      <c r="D98" s="592"/>
      <c r="E98" s="596"/>
      <c r="F98" s="596"/>
      <c r="G98" s="582"/>
      <c r="H98" s="582"/>
      <c r="I98" s="582"/>
      <c r="J98" s="581"/>
      <c r="K98" s="581"/>
      <c r="L98" s="581"/>
      <c r="M98" s="591">
        <f>M97*B98</f>
        <v>756625.31721463648</v>
      </c>
      <c r="N98" s="7"/>
      <c r="O98" s="7"/>
      <c r="P98" s="7"/>
      <c r="Q98" s="7"/>
      <c r="R98" s="7"/>
      <c r="S98" s="7"/>
      <c r="T98" s="7"/>
      <c r="U98" s="7"/>
      <c r="V98" s="7"/>
      <c r="W98" s="2"/>
      <c r="X98" s="2"/>
      <c r="Y98" s="2"/>
      <c r="Z98" s="2"/>
    </row>
    <row r="99" spans="1:26" ht="12.75" customHeight="1" x14ac:dyDescent="0.15">
      <c r="A99" s="1" t="s">
        <v>170</v>
      </c>
      <c r="B99" s="44"/>
      <c r="C99" s="44"/>
      <c r="D99" s="578"/>
      <c r="E99" s="596"/>
      <c r="F99" s="563">
        <f>F93</f>
        <v>-16777440</v>
      </c>
      <c r="G99" s="582"/>
      <c r="H99" s="582"/>
      <c r="I99" s="582"/>
      <c r="J99" s="581"/>
      <c r="K99" s="581"/>
      <c r="L99" s="581"/>
      <c r="M99" s="581"/>
      <c r="N99" s="7"/>
      <c r="O99" s="7"/>
      <c r="P99" s="7"/>
      <c r="Q99" s="7"/>
      <c r="R99" s="7"/>
      <c r="S99" s="7"/>
      <c r="T99" s="7"/>
      <c r="U99" s="7"/>
      <c r="V99" s="7"/>
      <c r="W99" s="2"/>
      <c r="X99" s="2"/>
      <c r="Y99" s="2"/>
      <c r="Z99" s="2"/>
    </row>
    <row r="100" spans="1:26" ht="12.75" customHeight="1" x14ac:dyDescent="0.15">
      <c r="A100" s="279" t="s">
        <v>326</v>
      </c>
      <c r="B100" s="282"/>
      <c r="C100" s="282"/>
      <c r="D100" s="597"/>
      <c r="E100" s="569">
        <f t="shared" ref="E100:M100" si="38">SUM(E95:E99)</f>
        <v>0</v>
      </c>
      <c r="F100" s="569">
        <f t="shared" si="38"/>
        <v>-16777440</v>
      </c>
      <c r="G100" s="570">
        <f t="shared" si="38"/>
        <v>1287648.5181457493</v>
      </c>
      <c r="H100" s="570">
        <f t="shared" si="38"/>
        <v>1417759.7096402091</v>
      </c>
      <c r="I100" s="570">
        <f t="shared" si="38"/>
        <v>1559802.3158858987</v>
      </c>
      <c r="J100" s="571">
        <f t="shared" si="38"/>
        <v>1714833.9365236058</v>
      </c>
      <c r="K100" s="571">
        <f t="shared" si="38"/>
        <v>1884004.7071923455</v>
      </c>
      <c r="L100" s="571">
        <f t="shared" si="38"/>
        <v>2068565.354650235</v>
      </c>
      <c r="M100" s="571">
        <f t="shared" si="38"/>
        <v>28247345.176013097</v>
      </c>
      <c r="N100" s="7"/>
      <c r="O100" s="7"/>
      <c r="P100" s="7"/>
      <c r="Q100" s="7"/>
      <c r="R100" s="7"/>
      <c r="S100" s="7"/>
      <c r="T100" s="7"/>
      <c r="U100" s="7"/>
      <c r="V100" s="7"/>
      <c r="W100" s="2"/>
      <c r="X100" s="2"/>
      <c r="Y100" s="2"/>
      <c r="Z100" s="2"/>
    </row>
    <row r="101" spans="1:26" ht="12.75" customHeight="1" x14ac:dyDescent="0.15">
      <c r="A101" s="92" t="s">
        <v>218</v>
      </c>
      <c r="B101" s="471"/>
      <c r="C101" s="471"/>
      <c r="D101" s="930">
        <f t="array" ref="D101">NPV(B75,F100:M100)</f>
        <v>4309848.5694352854</v>
      </c>
      <c r="E101" s="555"/>
      <c r="F101" s="555"/>
      <c r="G101" s="556"/>
      <c r="H101" s="556"/>
      <c r="I101" s="556"/>
      <c r="J101" s="557"/>
      <c r="K101" s="557"/>
      <c r="L101" s="557"/>
      <c r="M101" s="557"/>
      <c r="N101" s="7"/>
      <c r="O101" s="7"/>
      <c r="P101" s="7"/>
      <c r="Q101" s="7"/>
      <c r="R101" s="7"/>
      <c r="S101" s="7"/>
      <c r="T101" s="7"/>
      <c r="U101" s="7"/>
      <c r="V101" s="7"/>
      <c r="W101" s="2"/>
      <c r="X101" s="2"/>
      <c r="Y101" s="2"/>
      <c r="Z101" s="2"/>
    </row>
    <row r="102" spans="1:26" ht="12.75" customHeight="1" x14ac:dyDescent="0.15">
      <c r="A102" s="281" t="s">
        <v>224</v>
      </c>
      <c r="B102" s="283"/>
      <c r="C102" s="283"/>
      <c r="D102" s="931">
        <f>IRR(D100:M100,B75)</f>
        <v>0.1484349855611109</v>
      </c>
      <c r="E102" s="599"/>
      <c r="F102" s="599"/>
      <c r="G102" s="600"/>
      <c r="H102" s="600"/>
      <c r="I102" s="600"/>
      <c r="J102" s="601"/>
      <c r="K102" s="601"/>
      <c r="L102" s="601"/>
      <c r="M102" s="601"/>
      <c r="N102" s="7"/>
      <c r="O102" s="7"/>
      <c r="P102" s="7"/>
      <c r="Q102" s="7"/>
      <c r="R102" s="7"/>
      <c r="S102" s="7"/>
      <c r="T102" s="7"/>
      <c r="U102" s="7"/>
      <c r="V102" s="7"/>
      <c r="W102" s="2"/>
      <c r="X102" s="2"/>
      <c r="Y102" s="2"/>
      <c r="Z102" s="2"/>
    </row>
    <row r="103" spans="1:26" ht="12.75" customHeight="1" x14ac:dyDescent="0.15">
      <c r="A103" s="281" t="s">
        <v>229</v>
      </c>
      <c r="B103" s="283"/>
      <c r="C103" s="283"/>
      <c r="D103" s="602"/>
      <c r="E103" s="599"/>
      <c r="F103" s="599"/>
      <c r="G103" s="600"/>
      <c r="H103" s="600"/>
      <c r="I103" s="600"/>
      <c r="J103" s="601"/>
      <c r="K103" s="601"/>
      <c r="L103" s="601"/>
      <c r="M103" s="601"/>
      <c r="N103" s="7"/>
      <c r="O103" s="7"/>
      <c r="P103" s="7"/>
      <c r="Q103" s="7"/>
      <c r="R103" s="7"/>
      <c r="S103" s="7"/>
      <c r="T103" s="7"/>
      <c r="U103" s="7"/>
      <c r="V103" s="7"/>
      <c r="W103" s="2"/>
      <c r="X103" s="2"/>
      <c r="Y103" s="2"/>
      <c r="Z103" s="2"/>
    </row>
    <row r="104" spans="1:26" ht="12.75" customHeight="1" x14ac:dyDescent="0.15">
      <c r="A104" s="7"/>
      <c r="B104" s="16"/>
      <c r="C104" s="16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honeticPr fontId="24" type="noConversion"/>
  <pageMargins left="0.7" right="0.7" top="0.75" bottom="0.75" header="0.3" footer="0.3"/>
  <pageSetup paperSize="3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34" sqref="D33:D34"/>
    </sheetView>
  </sheetViews>
  <sheetFormatPr baseColWidth="10" defaultColWidth="17.33203125" defaultRowHeight="15" customHeight="1" x14ac:dyDescent="0.15"/>
  <cols>
    <col min="1" max="1" width="23" customWidth="1"/>
    <col min="2" max="3" width="8.6640625" customWidth="1"/>
    <col min="4" max="4" width="12.5" customWidth="1"/>
    <col min="5" max="13" width="8.6640625" customWidth="1"/>
    <col min="14" max="23" width="9.1640625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15">
      <c r="A2" s="11" t="s">
        <v>62</v>
      </c>
      <c r="B2" s="16"/>
      <c r="C2" s="16"/>
      <c r="D2" s="7"/>
      <c r="E2" s="7"/>
      <c r="F2" s="7"/>
      <c r="G2" s="7"/>
      <c r="H2" s="7"/>
      <c r="I2" s="7"/>
      <c r="J2" s="7"/>
      <c r="K2" s="7"/>
      <c r="L2" s="548"/>
      <c r="M2" s="250"/>
      <c r="N2" s="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15">
      <c r="A3" s="7"/>
      <c r="B3" s="16"/>
      <c r="C3" s="16" t="s">
        <v>18</v>
      </c>
      <c r="D3" s="15" t="s">
        <v>19</v>
      </c>
      <c r="E3" s="17" t="s">
        <v>20</v>
      </c>
      <c r="F3" s="17"/>
      <c r="G3" s="18" t="s">
        <v>21</v>
      </c>
      <c r="H3" s="19"/>
      <c r="I3" s="18"/>
      <c r="J3" s="20" t="s">
        <v>22</v>
      </c>
      <c r="K3" s="21"/>
      <c r="L3" s="21"/>
      <c r="M3" s="21"/>
      <c r="N3" s="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15">
      <c r="A4" s="86"/>
      <c r="B4" s="27" t="s">
        <v>25</v>
      </c>
      <c r="C4" s="27" t="s">
        <v>24</v>
      </c>
      <c r="D4" s="470">
        <v>2019</v>
      </c>
      <c r="E4" s="29">
        <f t="shared" ref="E4:M4" si="0">D4+1</f>
        <v>2020</v>
      </c>
      <c r="F4" s="29">
        <f t="shared" si="0"/>
        <v>2021</v>
      </c>
      <c r="G4" s="31">
        <f t="shared" si="0"/>
        <v>2022</v>
      </c>
      <c r="H4" s="31">
        <f t="shared" si="0"/>
        <v>2023</v>
      </c>
      <c r="I4" s="31">
        <f t="shared" si="0"/>
        <v>2024</v>
      </c>
      <c r="J4" s="33">
        <f t="shared" si="0"/>
        <v>2025</v>
      </c>
      <c r="K4" s="33">
        <f t="shared" si="0"/>
        <v>2026</v>
      </c>
      <c r="L4" s="33">
        <f t="shared" si="0"/>
        <v>2027</v>
      </c>
      <c r="M4" s="33">
        <f t="shared" si="0"/>
        <v>2028</v>
      </c>
      <c r="N4" s="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" customHeight="1" x14ac:dyDescent="0.15">
      <c r="A5" s="92" t="s">
        <v>302</v>
      </c>
      <c r="B5" s="16"/>
      <c r="C5" s="16"/>
      <c r="D5" s="222"/>
      <c r="E5" s="224"/>
      <c r="F5" s="224"/>
      <c r="G5" s="227"/>
      <c r="H5" s="227"/>
      <c r="I5" s="227"/>
      <c r="J5" s="128"/>
      <c r="K5" s="128"/>
      <c r="L5" s="128"/>
      <c r="M5" s="128"/>
      <c r="N5" s="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15">
      <c r="A6" s="1" t="s">
        <v>244</v>
      </c>
      <c r="B6" s="275">
        <v>3.5000000000000003E-2</v>
      </c>
      <c r="C6" s="44"/>
      <c r="D6" s="71"/>
      <c r="E6" s="82"/>
      <c r="F6" s="82"/>
      <c r="G6" s="65"/>
      <c r="H6" s="65"/>
      <c r="I6" s="65"/>
      <c r="J6" s="47"/>
      <c r="K6" s="47"/>
      <c r="L6" s="47"/>
      <c r="M6" s="47"/>
      <c r="N6" s="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15">
      <c r="A7" s="1" t="s">
        <v>344</v>
      </c>
      <c r="B7" s="471">
        <v>0.1</v>
      </c>
      <c r="C7" s="471"/>
      <c r="D7" s="472"/>
      <c r="E7" s="473"/>
      <c r="F7" s="473"/>
      <c r="G7" s="474"/>
      <c r="H7" s="474"/>
      <c r="I7" s="474"/>
      <c r="J7" s="475"/>
      <c r="K7" s="475"/>
      <c r="L7" s="475"/>
      <c r="M7" s="475"/>
      <c r="N7" s="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15">
      <c r="A8" s="1" t="s">
        <v>345</v>
      </c>
      <c r="B8" s="471">
        <v>0.95</v>
      </c>
      <c r="C8" s="471"/>
      <c r="D8" s="472"/>
      <c r="E8" s="473"/>
      <c r="F8" s="473"/>
      <c r="G8" s="474"/>
      <c r="H8" s="474"/>
      <c r="I8" s="474"/>
      <c r="J8" s="475"/>
      <c r="K8" s="475"/>
      <c r="L8" s="475"/>
      <c r="M8" s="475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15">
      <c r="A9" s="35" t="s">
        <v>304</v>
      </c>
      <c r="B9" s="44">
        <v>0.9</v>
      </c>
      <c r="C9" s="471"/>
      <c r="D9" s="472"/>
      <c r="E9" s="473"/>
      <c r="F9" s="473"/>
      <c r="G9" s="474"/>
      <c r="H9" s="474"/>
      <c r="I9" s="474"/>
      <c r="J9" s="475"/>
      <c r="K9" s="475"/>
      <c r="L9" s="475"/>
      <c r="M9" s="475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15">
      <c r="A10" s="35" t="s">
        <v>346</v>
      </c>
      <c r="B10" s="44">
        <v>0.75</v>
      </c>
      <c r="C10" s="471"/>
      <c r="D10" s="550"/>
      <c r="E10" s="551">
        <f>B10</f>
        <v>0.75</v>
      </c>
      <c r="F10" s="551">
        <f t="shared" ref="F10:M10" si="1">E10*1.03</f>
        <v>0.77249999999999996</v>
      </c>
      <c r="G10" s="552">
        <f t="shared" si="1"/>
        <v>0.79567500000000002</v>
      </c>
      <c r="H10" s="552">
        <f t="shared" si="1"/>
        <v>0.81954525</v>
      </c>
      <c r="I10" s="552">
        <f t="shared" si="1"/>
        <v>0.84413160750000005</v>
      </c>
      <c r="J10" s="553">
        <f t="shared" si="1"/>
        <v>0.86945555572500011</v>
      </c>
      <c r="K10" s="553">
        <f t="shared" si="1"/>
        <v>0.8955392223967501</v>
      </c>
      <c r="L10" s="553">
        <f t="shared" si="1"/>
        <v>0.9224053990686526</v>
      </c>
      <c r="M10" s="553">
        <f t="shared" si="1"/>
        <v>0.95007756104071217</v>
      </c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15">
      <c r="A11" s="35" t="s">
        <v>56</v>
      </c>
      <c r="B11" s="44">
        <v>0.2</v>
      </c>
      <c r="C11" s="471"/>
      <c r="D11" s="472"/>
      <c r="E11" s="473"/>
      <c r="F11" s="473"/>
      <c r="G11" s="474"/>
      <c r="H11" s="474"/>
      <c r="I11" s="474"/>
      <c r="J11" s="475"/>
      <c r="K11" s="475"/>
      <c r="L11" s="475"/>
      <c r="M11" s="475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15">
      <c r="A12" s="35" t="s">
        <v>354</v>
      </c>
      <c r="B12" s="280">
        <f>'Project Data'!D143-'Project Data'!D141</f>
        <v>209037.2</v>
      </c>
      <c r="C12" s="280"/>
      <c r="D12" s="554"/>
      <c r="E12" s="555"/>
      <c r="F12" s="555"/>
      <c r="G12" s="556"/>
      <c r="H12" s="556"/>
      <c r="I12" s="556"/>
      <c r="J12" s="557"/>
      <c r="K12" s="557"/>
      <c r="L12" s="557"/>
      <c r="M12" s="557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15">
      <c r="A13" s="35" t="s">
        <v>307</v>
      </c>
      <c r="B13" s="613">
        <f>'Project Data'!C89</f>
        <v>120</v>
      </c>
      <c r="C13" s="16"/>
      <c r="D13" s="559"/>
      <c r="E13" s="560"/>
      <c r="F13" s="560"/>
      <c r="G13" s="561"/>
      <c r="H13" s="561"/>
      <c r="I13" s="561"/>
      <c r="J13" s="562"/>
      <c r="K13" s="562"/>
      <c r="L13" s="562"/>
      <c r="M13" s="562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15">
      <c r="A14" s="35" t="s">
        <v>347</v>
      </c>
      <c r="B14" s="558">
        <v>28</v>
      </c>
      <c r="C14" s="16"/>
      <c r="D14" s="559"/>
      <c r="E14" s="560">
        <f t="shared" ref="E14:E15" si="2">B14</f>
        <v>28</v>
      </c>
      <c r="F14" s="563">
        <f t="shared" ref="F14:M14" si="3">E14*(1+$B$6)</f>
        <v>28.979999999999997</v>
      </c>
      <c r="G14" s="564">
        <f t="shared" si="3"/>
        <v>29.994299999999996</v>
      </c>
      <c r="H14" s="564">
        <f t="shared" si="3"/>
        <v>31.044100499999992</v>
      </c>
      <c r="I14" s="564">
        <f t="shared" si="3"/>
        <v>32.130644017499989</v>
      </c>
      <c r="J14" s="565">
        <f t="shared" si="3"/>
        <v>33.255216558112487</v>
      </c>
      <c r="K14" s="565">
        <f t="shared" si="3"/>
        <v>34.419149137646421</v>
      </c>
      <c r="L14" s="565">
        <f t="shared" si="3"/>
        <v>35.623819357464043</v>
      </c>
      <c r="M14" s="565">
        <f t="shared" si="3"/>
        <v>36.870653034975284</v>
      </c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15">
      <c r="A15" s="63" t="s">
        <v>309</v>
      </c>
      <c r="B15" s="566">
        <v>4</v>
      </c>
      <c r="C15" s="25"/>
      <c r="D15" s="567"/>
      <c r="E15" s="568">
        <f t="shared" si="2"/>
        <v>4</v>
      </c>
      <c r="F15" s="569">
        <f t="shared" ref="F15:M15" si="4">E15*(1+$B$6)</f>
        <v>4.1399999999999997</v>
      </c>
      <c r="G15" s="570">
        <f t="shared" si="4"/>
        <v>4.2848999999999995</v>
      </c>
      <c r="H15" s="570">
        <f t="shared" si="4"/>
        <v>4.434871499999999</v>
      </c>
      <c r="I15" s="570">
        <f t="shared" si="4"/>
        <v>4.5900920024999987</v>
      </c>
      <c r="J15" s="571">
        <f t="shared" si="4"/>
        <v>4.750745222587498</v>
      </c>
      <c r="K15" s="571">
        <f t="shared" si="4"/>
        <v>4.9170213053780598</v>
      </c>
      <c r="L15" s="571">
        <f t="shared" si="4"/>
        <v>5.0891170510662915</v>
      </c>
      <c r="M15" s="571">
        <f t="shared" si="4"/>
        <v>5.2672361478536116</v>
      </c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 x14ac:dyDescent="0.15">
      <c r="A16" s="92" t="s">
        <v>30</v>
      </c>
      <c r="B16" s="16"/>
      <c r="C16" s="16"/>
      <c r="D16" s="572"/>
      <c r="E16" s="563"/>
      <c r="F16" s="563"/>
      <c r="G16" s="564"/>
      <c r="H16" s="564"/>
      <c r="I16" s="564"/>
      <c r="J16" s="565"/>
      <c r="K16" s="565"/>
      <c r="L16" s="565"/>
      <c r="M16" s="565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15">
      <c r="A17" s="35" t="s">
        <v>348</v>
      </c>
      <c r="B17" s="16"/>
      <c r="C17" s="16"/>
      <c r="D17" s="572"/>
      <c r="E17" s="563"/>
      <c r="F17" s="563">
        <f>$B$12*F14*F10*$B$9*E21</f>
        <v>842350.72468680004</v>
      </c>
      <c r="G17" s="564">
        <f>$B$12*G14*G10*$B$9*(E21+F21)</f>
        <v>1795975.9801047263</v>
      </c>
      <c r="H17" s="564">
        <f>$B$12*H14*H10*$B$9*E21+F21+G21</f>
        <v>957300.49679532135</v>
      </c>
      <c r="I17" s="564">
        <f>$B$12*I14*I10*$B$9*(E21+F21+G21+H21)</f>
        <v>4082119.0727546099</v>
      </c>
      <c r="J17" s="565">
        <f t="shared" ref="J17:M17" si="5">$B$12*J14*J10*$B$9</f>
        <v>5439678.7968875654</v>
      </c>
      <c r="K17" s="565">
        <f t="shared" si="5"/>
        <v>5798969.5814219881</v>
      </c>
      <c r="L17" s="565">
        <f t="shared" si="5"/>
        <v>6181991.5222749095</v>
      </c>
      <c r="M17" s="565">
        <f t="shared" si="5"/>
        <v>6590312.0623211674</v>
      </c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5.5" customHeight="1" x14ac:dyDescent="0.15">
      <c r="A18" s="573" t="s">
        <v>349</v>
      </c>
      <c r="B18" s="16"/>
      <c r="C18" s="574"/>
      <c r="D18" s="575"/>
      <c r="E18" s="563"/>
      <c r="F18" s="563">
        <f t="shared" ref="F18:M18" si="6">F15*$B$12*$B$8</f>
        <v>822143.30759999994</v>
      </c>
      <c r="G18" s="564">
        <f t="shared" si="6"/>
        <v>850918.32336599985</v>
      </c>
      <c r="H18" s="564">
        <f t="shared" si="6"/>
        <v>880700.4646838099</v>
      </c>
      <c r="I18" s="564">
        <f t="shared" si="6"/>
        <v>911524.98094774317</v>
      </c>
      <c r="J18" s="565">
        <f t="shared" si="6"/>
        <v>943428.35528091399</v>
      </c>
      <c r="K18" s="565">
        <f t="shared" si="6"/>
        <v>976448.34771574591</v>
      </c>
      <c r="L18" s="565">
        <f t="shared" si="6"/>
        <v>1010624.0398857967</v>
      </c>
      <c r="M18" s="565">
        <f t="shared" si="6"/>
        <v>1045995.8812817998</v>
      </c>
      <c r="N18" s="28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15">
      <c r="A19" s="277" t="s">
        <v>177</v>
      </c>
      <c r="B19" s="283"/>
      <c r="C19" s="283"/>
      <c r="D19" s="567"/>
      <c r="E19" s="568"/>
      <c r="F19" s="568">
        <f t="shared" ref="F19:M19" si="7">F17-F18</f>
        <v>20207.417086800095</v>
      </c>
      <c r="G19" s="576">
        <f t="shared" si="7"/>
        <v>945057.65673872642</v>
      </c>
      <c r="H19" s="576">
        <f t="shared" si="7"/>
        <v>76600.032111511449</v>
      </c>
      <c r="I19" s="576">
        <f t="shared" si="7"/>
        <v>3170594.0918068667</v>
      </c>
      <c r="J19" s="577">
        <f t="shared" si="7"/>
        <v>4496250.4416066511</v>
      </c>
      <c r="K19" s="577">
        <f t="shared" si="7"/>
        <v>4822521.2337062424</v>
      </c>
      <c r="L19" s="577">
        <f t="shared" si="7"/>
        <v>5171367.4823891129</v>
      </c>
      <c r="M19" s="577">
        <f t="shared" si="7"/>
        <v>5544316.1810393678</v>
      </c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15">
      <c r="A20" s="92" t="s">
        <v>106</v>
      </c>
      <c r="B20" s="280"/>
      <c r="C20" s="280"/>
      <c r="D20" s="554"/>
      <c r="E20" s="555"/>
      <c r="F20" s="555"/>
      <c r="G20" s="556"/>
      <c r="H20" s="556"/>
      <c r="I20" s="556"/>
      <c r="J20" s="557"/>
      <c r="K20" s="557"/>
      <c r="L20" s="557"/>
      <c r="M20" s="55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15">
      <c r="A21" s="1" t="s">
        <v>320</v>
      </c>
      <c r="B21" s="267"/>
      <c r="C21" s="267"/>
      <c r="D21" s="554"/>
      <c r="E21" s="579">
        <v>0.2</v>
      </c>
      <c r="F21" s="579">
        <v>0.2</v>
      </c>
      <c r="G21" s="580">
        <v>0.2</v>
      </c>
      <c r="H21" s="580">
        <v>0.2</v>
      </c>
      <c r="I21" s="580">
        <v>0.2</v>
      </c>
      <c r="J21" s="581"/>
      <c r="K21" s="581"/>
      <c r="L21" s="581"/>
      <c r="M21" s="581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15">
      <c r="A22" s="1" t="s">
        <v>355</v>
      </c>
      <c r="B22" s="267"/>
      <c r="C22" s="44"/>
      <c r="D22" s="523">
        <f>D21</f>
        <v>0</v>
      </c>
      <c r="E22" s="524">
        <f t="shared" ref="E22:M22" si="8">D22+E21</f>
        <v>0.2</v>
      </c>
      <c r="F22" s="524">
        <f t="shared" si="8"/>
        <v>0.4</v>
      </c>
      <c r="G22" s="525">
        <f t="shared" si="8"/>
        <v>0.60000000000000009</v>
      </c>
      <c r="H22" s="525">
        <f t="shared" si="8"/>
        <v>0.8</v>
      </c>
      <c r="I22" s="525">
        <f t="shared" si="8"/>
        <v>1</v>
      </c>
      <c r="J22" s="522">
        <f t="shared" si="8"/>
        <v>1</v>
      </c>
      <c r="K22" s="522">
        <f t="shared" si="8"/>
        <v>1</v>
      </c>
      <c r="L22" s="522">
        <f t="shared" si="8"/>
        <v>1</v>
      </c>
      <c r="M22" s="522">
        <f t="shared" si="8"/>
        <v>1</v>
      </c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15">
      <c r="A23" s="1" t="s">
        <v>350</v>
      </c>
      <c r="B23" s="267"/>
      <c r="C23" s="267"/>
      <c r="D23" s="554"/>
      <c r="E23" s="563">
        <f t="shared" ref="E23:I23" si="9">-$B12*$B13*E21</f>
        <v>-5016892.8</v>
      </c>
      <c r="F23" s="563">
        <f t="shared" si="9"/>
        <v>-5016892.8</v>
      </c>
      <c r="G23" s="564">
        <f t="shared" si="9"/>
        <v>-5016892.8</v>
      </c>
      <c r="H23" s="564">
        <f t="shared" si="9"/>
        <v>-5016892.8</v>
      </c>
      <c r="I23" s="564">
        <f t="shared" si="9"/>
        <v>-5016892.8</v>
      </c>
      <c r="J23" s="581"/>
      <c r="K23" s="581"/>
      <c r="L23" s="581"/>
      <c r="M23" s="581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15">
      <c r="A24" s="1" t="s">
        <v>351</v>
      </c>
      <c r="B24" s="535">
        <v>0.2</v>
      </c>
      <c r="C24" s="267"/>
      <c r="D24" s="554"/>
      <c r="E24" s="563">
        <f t="shared" ref="E24:I24" si="10">$B24*E23*E21</f>
        <v>-200675.71200000003</v>
      </c>
      <c r="F24" s="563">
        <f t="shared" si="10"/>
        <v>-200675.71200000003</v>
      </c>
      <c r="G24" s="564">
        <f t="shared" si="10"/>
        <v>-200675.71200000003</v>
      </c>
      <c r="H24" s="564">
        <f t="shared" si="10"/>
        <v>-200675.71200000003</v>
      </c>
      <c r="I24" s="564">
        <f t="shared" si="10"/>
        <v>-200675.71200000003</v>
      </c>
      <c r="J24" s="581"/>
      <c r="K24" s="581"/>
      <c r="L24" s="581"/>
      <c r="M24" s="581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15">
      <c r="A25" s="277" t="s">
        <v>170</v>
      </c>
      <c r="B25" s="25"/>
      <c r="C25" s="283"/>
      <c r="D25" s="614"/>
      <c r="E25" s="569">
        <f t="shared" ref="E25:I25" si="11">SUM(E23:E24)</f>
        <v>-5217568.5120000001</v>
      </c>
      <c r="F25" s="569">
        <f t="shared" si="11"/>
        <v>-5217568.5120000001</v>
      </c>
      <c r="G25" s="570">
        <f t="shared" si="11"/>
        <v>-5217568.5120000001</v>
      </c>
      <c r="H25" s="570">
        <f t="shared" si="11"/>
        <v>-5217568.5120000001</v>
      </c>
      <c r="I25" s="570">
        <f t="shared" si="11"/>
        <v>-5217568.5120000001</v>
      </c>
      <c r="J25" s="586"/>
      <c r="K25" s="586"/>
      <c r="L25" s="586"/>
      <c r="M25" s="586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15">
      <c r="A26" s="92" t="s">
        <v>174</v>
      </c>
      <c r="B26" s="280"/>
      <c r="C26" s="280"/>
      <c r="D26" s="554"/>
      <c r="E26" s="555"/>
      <c r="F26" s="555"/>
      <c r="G26" s="556"/>
      <c r="H26" s="556"/>
      <c r="I26" s="556"/>
      <c r="J26" s="557"/>
      <c r="K26" s="557"/>
      <c r="L26" s="557"/>
      <c r="M26" s="55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15">
      <c r="A27" s="1" t="s">
        <v>177</v>
      </c>
      <c r="B27" s="587"/>
      <c r="C27" s="587"/>
      <c r="D27" s="588"/>
      <c r="E27" s="589">
        <f t="shared" ref="E27:M27" si="12">E19</f>
        <v>0</v>
      </c>
      <c r="F27" s="589">
        <f t="shared" si="12"/>
        <v>20207.417086800095</v>
      </c>
      <c r="G27" s="590">
        <f t="shared" si="12"/>
        <v>945057.65673872642</v>
      </c>
      <c r="H27" s="590">
        <f t="shared" si="12"/>
        <v>76600.032111511449</v>
      </c>
      <c r="I27" s="590">
        <f t="shared" si="12"/>
        <v>3170594.0918068667</v>
      </c>
      <c r="J27" s="591">
        <f t="shared" si="12"/>
        <v>4496250.4416066511</v>
      </c>
      <c r="K27" s="591">
        <f t="shared" si="12"/>
        <v>4822521.2337062424</v>
      </c>
      <c r="L27" s="591">
        <f t="shared" si="12"/>
        <v>5171367.4823891129</v>
      </c>
      <c r="M27" s="591">
        <f t="shared" si="12"/>
        <v>5544316.1810393678</v>
      </c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15">
      <c r="A28" s="1" t="s">
        <v>344</v>
      </c>
      <c r="B28" s="535">
        <v>0.06</v>
      </c>
      <c r="C28" s="535"/>
      <c r="D28" s="592"/>
      <c r="E28" s="593"/>
      <c r="F28" s="593"/>
      <c r="G28" s="594"/>
      <c r="H28" s="594"/>
      <c r="I28" s="594"/>
      <c r="J28" s="595"/>
      <c r="K28" s="595"/>
      <c r="L28" s="595"/>
      <c r="M28" s="595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15">
      <c r="A29" s="1" t="s">
        <v>324</v>
      </c>
      <c r="B29" s="44"/>
      <c r="C29" s="44"/>
      <c r="D29" s="592"/>
      <c r="E29" s="589"/>
      <c r="F29" s="589"/>
      <c r="G29" s="590"/>
      <c r="H29" s="590"/>
      <c r="I29" s="590"/>
      <c r="J29" s="591"/>
      <c r="K29" s="591"/>
      <c r="L29" s="591"/>
      <c r="M29" s="591">
        <f>M27/$B$28</f>
        <v>92405269.683989465</v>
      </c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15">
      <c r="A30" s="1" t="s">
        <v>325</v>
      </c>
      <c r="B30" s="44">
        <v>0.03</v>
      </c>
      <c r="C30" s="44"/>
      <c r="D30" s="592"/>
      <c r="E30" s="596"/>
      <c r="F30" s="596"/>
      <c r="G30" s="582"/>
      <c r="H30" s="582"/>
      <c r="I30" s="582"/>
      <c r="J30" s="581"/>
      <c r="K30" s="581"/>
      <c r="L30" s="581"/>
      <c r="M30" s="591">
        <f>M29*B30</f>
        <v>2772158.0905196839</v>
      </c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15">
      <c r="A31" s="1" t="s">
        <v>170</v>
      </c>
      <c r="B31" s="44"/>
      <c r="C31" s="44"/>
      <c r="D31" s="592">
        <f t="shared" ref="D31:M31" si="13">D25</f>
        <v>0</v>
      </c>
      <c r="E31" s="589">
        <f t="shared" si="13"/>
        <v>-5217568.5120000001</v>
      </c>
      <c r="F31" s="589">
        <f t="shared" si="13"/>
        <v>-5217568.5120000001</v>
      </c>
      <c r="G31" s="590">
        <f t="shared" si="13"/>
        <v>-5217568.5120000001</v>
      </c>
      <c r="H31" s="590">
        <f t="shared" si="13"/>
        <v>-5217568.5120000001</v>
      </c>
      <c r="I31" s="590">
        <f t="shared" si="13"/>
        <v>-5217568.5120000001</v>
      </c>
      <c r="J31" s="581">
        <f t="shared" si="13"/>
        <v>0</v>
      </c>
      <c r="K31" s="581">
        <f t="shared" si="13"/>
        <v>0</v>
      </c>
      <c r="L31" s="581">
        <f t="shared" si="13"/>
        <v>0</v>
      </c>
      <c r="M31" s="581">
        <f t="shared" si="13"/>
        <v>0</v>
      </c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15">
      <c r="A32" s="279" t="s">
        <v>326</v>
      </c>
      <c r="B32" s="282"/>
      <c r="C32" s="282"/>
      <c r="D32" s="597">
        <f>D27+D29-D31</f>
        <v>0</v>
      </c>
      <c r="E32" s="611">
        <f t="shared" ref="E32:M32" si="14">SUM(E27:E31)</f>
        <v>-5217568.5120000001</v>
      </c>
      <c r="F32" s="611">
        <f t="shared" si="14"/>
        <v>-5197361.0949131995</v>
      </c>
      <c r="G32" s="612">
        <f t="shared" si="14"/>
        <v>-4272510.8552612737</v>
      </c>
      <c r="H32" s="570">
        <f t="shared" si="14"/>
        <v>-5140968.4798884885</v>
      </c>
      <c r="I32" s="570">
        <f t="shared" si="14"/>
        <v>-2046974.4201931334</v>
      </c>
      <c r="J32" s="571">
        <f t="shared" si="14"/>
        <v>4496250.4416066511</v>
      </c>
      <c r="K32" s="571">
        <f t="shared" si="14"/>
        <v>4822521.2337062424</v>
      </c>
      <c r="L32" s="571">
        <f t="shared" si="14"/>
        <v>5171367.4823891129</v>
      </c>
      <c r="M32" s="571">
        <f t="shared" si="14"/>
        <v>100721743.95554851</v>
      </c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15">
      <c r="A33" s="92" t="s">
        <v>218</v>
      </c>
      <c r="B33" s="471"/>
      <c r="C33" s="471"/>
      <c r="D33" s="930">
        <f t="array" ref="D33">NPV(B7,D32:M32)</f>
        <v>30100108.820001476</v>
      </c>
      <c r="E33" s="555"/>
      <c r="F33" s="555"/>
      <c r="G33" s="556"/>
      <c r="H33" s="556"/>
      <c r="I33" s="556"/>
      <c r="J33" s="557"/>
      <c r="K33" s="557"/>
      <c r="L33" s="557"/>
      <c r="M33" s="557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15">
      <c r="A34" s="281" t="s">
        <v>224</v>
      </c>
      <c r="B34" s="283"/>
      <c r="C34" s="283"/>
      <c r="D34" s="931">
        <f>IRR(D32:M32,B7)</f>
        <v>0.30797057469944589</v>
      </c>
      <c r="E34" s="599"/>
      <c r="F34" s="599"/>
      <c r="G34" s="600"/>
      <c r="H34" s="600"/>
      <c r="I34" s="600"/>
      <c r="J34" s="601"/>
      <c r="K34" s="601"/>
      <c r="L34" s="601"/>
      <c r="M34" s="601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15">
      <c r="A35" s="281" t="s">
        <v>229</v>
      </c>
      <c r="B35" s="283"/>
      <c r="C35" s="283"/>
      <c r="D35" s="602"/>
      <c r="E35" s="599"/>
      <c r="F35" s="599"/>
      <c r="G35" s="600"/>
      <c r="H35" s="600"/>
      <c r="I35" s="600"/>
      <c r="J35" s="601"/>
      <c r="K35" s="601"/>
      <c r="L35" s="601"/>
      <c r="M35" s="601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15">
      <c r="A36" s="7"/>
      <c r="B36" s="16"/>
      <c r="C36" s="1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" x14ac:dyDescent="0.1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" x14ac:dyDescent="0.1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" x14ac:dyDescent="0.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" x14ac:dyDescent="0.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honeticPr fontId="24" type="noConversion"/>
  <pageMargins left="0.7" right="0.7" top="0.75" bottom="0.75" header="0.3" footer="0.3"/>
  <pageSetup paperSize="3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35" sqref="D34:D35"/>
    </sheetView>
  </sheetViews>
  <sheetFormatPr baseColWidth="10" defaultColWidth="17.33203125" defaultRowHeight="15" customHeight="1" x14ac:dyDescent="0.15"/>
  <cols>
    <col min="1" max="1" width="23" customWidth="1"/>
    <col min="2" max="3" width="8.6640625" customWidth="1"/>
    <col min="4" max="4" width="12.5" customWidth="1"/>
    <col min="5" max="13" width="8.6640625" customWidth="1"/>
    <col min="14" max="23" width="9.1640625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15">
      <c r="A2" s="11" t="s">
        <v>62</v>
      </c>
      <c r="B2" s="16"/>
      <c r="C2" s="16"/>
      <c r="D2" s="7"/>
      <c r="E2" s="7"/>
      <c r="F2" s="7"/>
      <c r="G2" s="7"/>
      <c r="H2" s="7"/>
      <c r="I2" s="7"/>
      <c r="J2" s="7"/>
      <c r="K2" s="7"/>
      <c r="L2" s="548"/>
      <c r="M2" s="250"/>
      <c r="N2" s="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15">
      <c r="A3" s="7"/>
      <c r="B3" s="16"/>
      <c r="C3" s="16" t="s">
        <v>18</v>
      </c>
      <c r="D3" s="15" t="s">
        <v>19</v>
      </c>
      <c r="E3" s="17" t="s">
        <v>20</v>
      </c>
      <c r="F3" s="17"/>
      <c r="G3" s="18" t="s">
        <v>21</v>
      </c>
      <c r="H3" s="19"/>
      <c r="I3" s="18"/>
      <c r="J3" s="20" t="s">
        <v>22</v>
      </c>
      <c r="K3" s="21"/>
      <c r="L3" s="21"/>
      <c r="M3" s="21"/>
      <c r="N3" s="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15">
      <c r="A4" s="86"/>
      <c r="B4" s="27" t="s">
        <v>25</v>
      </c>
      <c r="C4" s="27" t="s">
        <v>24</v>
      </c>
      <c r="D4" s="470">
        <v>2019</v>
      </c>
      <c r="E4" s="29">
        <f t="shared" ref="E4:M4" si="0">D4+1</f>
        <v>2020</v>
      </c>
      <c r="F4" s="29">
        <f t="shared" si="0"/>
        <v>2021</v>
      </c>
      <c r="G4" s="31">
        <f t="shared" si="0"/>
        <v>2022</v>
      </c>
      <c r="H4" s="31">
        <f t="shared" si="0"/>
        <v>2023</v>
      </c>
      <c r="I4" s="31">
        <f t="shared" si="0"/>
        <v>2024</v>
      </c>
      <c r="J4" s="33">
        <f t="shared" si="0"/>
        <v>2025</v>
      </c>
      <c r="K4" s="33">
        <f t="shared" si="0"/>
        <v>2026</v>
      </c>
      <c r="L4" s="33">
        <f t="shared" si="0"/>
        <v>2027</v>
      </c>
      <c r="M4" s="33">
        <f t="shared" si="0"/>
        <v>2028</v>
      </c>
      <c r="N4" s="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" customHeight="1" x14ac:dyDescent="0.15">
      <c r="A5" s="92" t="s">
        <v>302</v>
      </c>
      <c r="B5" s="16"/>
      <c r="C5" s="16"/>
      <c r="D5" s="222"/>
      <c r="E5" s="224"/>
      <c r="F5" s="224"/>
      <c r="G5" s="227"/>
      <c r="H5" s="227"/>
      <c r="I5" s="227"/>
      <c r="J5" s="128"/>
      <c r="K5" s="128"/>
      <c r="L5" s="128"/>
      <c r="M5" s="128"/>
      <c r="N5" s="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15">
      <c r="A6" s="51" t="s">
        <v>6</v>
      </c>
      <c r="B6" s="292"/>
      <c r="C6" s="615"/>
      <c r="D6" s="616"/>
      <c r="E6" s="617"/>
      <c r="F6" s="617"/>
      <c r="G6" s="618"/>
      <c r="H6" s="618"/>
      <c r="I6" s="618"/>
      <c r="J6" s="504"/>
      <c r="K6" s="504"/>
      <c r="L6" s="504"/>
      <c r="M6" s="504"/>
      <c r="N6" s="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15">
      <c r="A7" s="1" t="s">
        <v>244</v>
      </c>
      <c r="B7" s="275">
        <f>'Project Data'!$B$3</f>
        <v>3.5000000000000003E-2</v>
      </c>
      <c r="C7" s="44"/>
      <c r="D7" s="71"/>
      <c r="E7" s="82"/>
      <c r="F7" s="82"/>
      <c r="G7" s="65"/>
      <c r="H7" s="65"/>
      <c r="I7" s="65"/>
      <c r="J7" s="47"/>
      <c r="K7" s="47"/>
      <c r="L7" s="47"/>
      <c r="M7" s="47"/>
      <c r="N7" s="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15">
      <c r="A8" s="1" t="s">
        <v>345</v>
      </c>
      <c r="B8" s="471">
        <v>0.9</v>
      </c>
      <c r="C8" s="471"/>
      <c r="D8" s="472"/>
      <c r="E8" s="473"/>
      <c r="F8" s="473"/>
      <c r="G8" s="474"/>
      <c r="H8" s="474"/>
      <c r="I8" s="474"/>
      <c r="J8" s="475"/>
      <c r="K8" s="475"/>
      <c r="L8" s="475"/>
      <c r="M8" s="475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15">
      <c r="A9" s="35" t="s">
        <v>304</v>
      </c>
      <c r="B9" s="44">
        <v>0.9</v>
      </c>
      <c r="C9" s="471"/>
      <c r="D9" s="472"/>
      <c r="E9" s="473"/>
      <c r="F9" s="473"/>
      <c r="G9" s="474"/>
      <c r="H9" s="474"/>
      <c r="I9" s="474"/>
      <c r="J9" s="475"/>
      <c r="K9" s="475"/>
      <c r="L9" s="475"/>
      <c r="M9" s="475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15">
      <c r="A10" s="35" t="s">
        <v>346</v>
      </c>
      <c r="B10" s="44">
        <v>0.6</v>
      </c>
      <c r="C10" s="471"/>
      <c r="D10" s="550"/>
      <c r="E10" s="551"/>
      <c r="F10" s="551">
        <f>B10</f>
        <v>0.6</v>
      </c>
      <c r="G10" s="552">
        <f t="shared" ref="G10:M10" si="1">F10*1.03</f>
        <v>0.61799999999999999</v>
      </c>
      <c r="H10" s="552">
        <f t="shared" si="1"/>
        <v>0.63653999999999999</v>
      </c>
      <c r="I10" s="552">
        <f t="shared" si="1"/>
        <v>0.6556362</v>
      </c>
      <c r="J10" s="553">
        <f t="shared" si="1"/>
        <v>0.67530528600000006</v>
      </c>
      <c r="K10" s="553">
        <f t="shared" si="1"/>
        <v>0.69556444458000011</v>
      </c>
      <c r="L10" s="553">
        <f t="shared" si="1"/>
        <v>0.71643137791740008</v>
      </c>
      <c r="M10" s="553">
        <f t="shared" si="1"/>
        <v>0.73792431925492208</v>
      </c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15">
      <c r="A11" s="35" t="s">
        <v>56</v>
      </c>
      <c r="B11" s="44">
        <f>'Project Data'!B12</f>
        <v>0.2</v>
      </c>
      <c r="C11" s="471"/>
      <c r="D11" s="472"/>
      <c r="E11" s="473"/>
      <c r="F11" s="473"/>
      <c r="G11" s="474"/>
      <c r="H11" s="474"/>
      <c r="I11" s="474"/>
      <c r="J11" s="475"/>
      <c r="K11" s="475"/>
      <c r="L11" s="475"/>
      <c r="M11" s="475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15">
      <c r="A12" s="35" t="s">
        <v>354</v>
      </c>
      <c r="B12" s="280">
        <f>'Project Data'!D141</f>
        <v>95879</v>
      </c>
      <c r="C12" s="280"/>
      <c r="D12" s="554"/>
      <c r="E12" s="555"/>
      <c r="F12" s="555"/>
      <c r="G12" s="556"/>
      <c r="H12" s="556"/>
      <c r="I12" s="556"/>
      <c r="J12" s="557"/>
      <c r="K12" s="557"/>
      <c r="L12" s="557"/>
      <c r="M12" s="557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15">
      <c r="A13" s="35" t="s">
        <v>307</v>
      </c>
      <c r="B13" s="613">
        <f>'Project Data'!B89</f>
        <v>50</v>
      </c>
      <c r="C13" s="16"/>
      <c r="D13" s="619">
        <f t="shared" ref="D13:D15" si="2">B13</f>
        <v>50</v>
      </c>
      <c r="E13" s="620">
        <f t="shared" ref="E13:E15" si="3">D13*(1+$B$7)</f>
        <v>51.749999999999993</v>
      </c>
      <c r="F13" s="620"/>
      <c r="G13" s="561"/>
      <c r="H13" s="561"/>
      <c r="I13" s="561"/>
      <c r="J13" s="562"/>
      <c r="K13" s="562"/>
      <c r="L13" s="562"/>
      <c r="M13" s="562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15">
      <c r="A14" s="35" t="s">
        <v>356</v>
      </c>
      <c r="B14" s="558">
        <f>2*12</f>
        <v>24</v>
      </c>
      <c r="C14" s="16"/>
      <c r="D14" s="621">
        <f t="shared" si="2"/>
        <v>24</v>
      </c>
      <c r="E14" s="622">
        <f t="shared" si="3"/>
        <v>24.839999999999996</v>
      </c>
      <c r="F14" s="620">
        <f t="shared" ref="F14:M14" si="4">E14*(1+$B$7)</f>
        <v>25.709399999999995</v>
      </c>
      <c r="G14" s="623">
        <f t="shared" si="4"/>
        <v>26.609228999999992</v>
      </c>
      <c r="H14" s="623">
        <f t="shared" si="4"/>
        <v>27.540552014999989</v>
      </c>
      <c r="I14" s="623">
        <f t="shared" si="4"/>
        <v>28.504471335524986</v>
      </c>
      <c r="J14" s="624">
        <f t="shared" si="4"/>
        <v>29.502127832268357</v>
      </c>
      <c r="K14" s="624">
        <f t="shared" si="4"/>
        <v>30.534702306397747</v>
      </c>
      <c r="L14" s="624">
        <f t="shared" si="4"/>
        <v>31.603416887121668</v>
      </c>
      <c r="M14" s="624">
        <f t="shared" si="4"/>
        <v>32.709536478170925</v>
      </c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15">
      <c r="A15" s="63" t="s">
        <v>357</v>
      </c>
      <c r="B15" s="566">
        <f>'Project Data'!$B$88*12</f>
        <v>6</v>
      </c>
      <c r="C15" s="25"/>
      <c r="D15" s="625">
        <f t="shared" si="2"/>
        <v>6</v>
      </c>
      <c r="E15" s="626">
        <f t="shared" si="3"/>
        <v>6.2099999999999991</v>
      </c>
      <c r="F15" s="627">
        <f t="shared" ref="F15:M15" si="5">E15*(1+$B$7)</f>
        <v>6.4273499999999988</v>
      </c>
      <c r="G15" s="628">
        <f t="shared" si="5"/>
        <v>6.652307249999998</v>
      </c>
      <c r="H15" s="628">
        <f t="shared" si="5"/>
        <v>6.8851380037499972</v>
      </c>
      <c r="I15" s="628">
        <f t="shared" si="5"/>
        <v>7.1261178338812465</v>
      </c>
      <c r="J15" s="629">
        <f t="shared" si="5"/>
        <v>7.3755319580670893</v>
      </c>
      <c r="K15" s="629">
        <f t="shared" si="5"/>
        <v>7.6336755765994369</v>
      </c>
      <c r="L15" s="629">
        <f t="shared" si="5"/>
        <v>7.900854221780417</v>
      </c>
      <c r="M15" s="629">
        <f t="shared" si="5"/>
        <v>8.1773841195427313</v>
      </c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 x14ac:dyDescent="0.15">
      <c r="A16" s="92" t="s">
        <v>30</v>
      </c>
      <c r="B16" s="16"/>
      <c r="C16" s="16"/>
      <c r="D16" s="572"/>
      <c r="E16" s="563"/>
      <c r="F16" s="563"/>
      <c r="G16" s="564"/>
      <c r="H16" s="564"/>
      <c r="I16" s="564"/>
      <c r="J16" s="565"/>
      <c r="K16" s="565"/>
      <c r="L16" s="565"/>
      <c r="M16" s="565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15">
      <c r="A17" s="35" t="s">
        <v>348</v>
      </c>
      <c r="B17" s="16"/>
      <c r="C17" s="16"/>
      <c r="D17" s="572"/>
      <c r="E17" s="563"/>
      <c r="F17" s="563">
        <f t="shared" ref="F17:M17" si="6">$B$12*F14*F10*$B$9</f>
        <v>1331095.4438039996</v>
      </c>
      <c r="G17" s="564">
        <f t="shared" si="6"/>
        <v>1419014.2978672539</v>
      </c>
      <c r="H17" s="564">
        <f t="shared" si="6"/>
        <v>1512740.1922413858</v>
      </c>
      <c r="I17" s="564">
        <f t="shared" si="6"/>
        <v>1612656.6819389293</v>
      </c>
      <c r="J17" s="565">
        <f t="shared" si="6"/>
        <v>1719172.6557809953</v>
      </c>
      <c r="K17" s="565">
        <f t="shared" si="6"/>
        <v>1832724.0096953302</v>
      </c>
      <c r="L17" s="565">
        <f t="shared" si="6"/>
        <v>1953775.4305357067</v>
      </c>
      <c r="M17" s="565">
        <f t="shared" si="6"/>
        <v>2082822.2977225897</v>
      </c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5.5" customHeight="1" x14ac:dyDescent="0.15">
      <c r="A18" s="573" t="s">
        <v>349</v>
      </c>
      <c r="B18" s="16"/>
      <c r="C18" s="574"/>
      <c r="D18" s="575"/>
      <c r="E18" s="563"/>
      <c r="F18" s="563">
        <f t="shared" ref="F18:M18" si="7">F15*$B$12*$B$8</f>
        <v>554623.10158499982</v>
      </c>
      <c r="G18" s="564">
        <f t="shared" si="7"/>
        <v>574034.91014047479</v>
      </c>
      <c r="H18" s="564">
        <f t="shared" si="7"/>
        <v>594126.13199539133</v>
      </c>
      <c r="I18" s="564">
        <f t="shared" si="7"/>
        <v>614920.54661523015</v>
      </c>
      <c r="J18" s="565">
        <f t="shared" si="7"/>
        <v>636442.76574676298</v>
      </c>
      <c r="K18" s="565">
        <f t="shared" si="7"/>
        <v>658718.26254789974</v>
      </c>
      <c r="L18" s="565">
        <f t="shared" si="7"/>
        <v>681773.40173707611</v>
      </c>
      <c r="M18" s="565">
        <f t="shared" si="7"/>
        <v>705635.4707978738</v>
      </c>
      <c r="N18" s="28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15">
      <c r="A19" s="277" t="s">
        <v>177</v>
      </c>
      <c r="B19" s="283"/>
      <c r="C19" s="283"/>
      <c r="D19" s="567"/>
      <c r="E19" s="568"/>
      <c r="F19" s="568">
        <f t="shared" ref="F19:M19" si="8">F17-F18</f>
        <v>776472.34221899975</v>
      </c>
      <c r="G19" s="576">
        <f t="shared" si="8"/>
        <v>844979.3877267791</v>
      </c>
      <c r="H19" s="576">
        <f t="shared" si="8"/>
        <v>918614.06024599448</v>
      </c>
      <c r="I19" s="576">
        <f t="shared" si="8"/>
        <v>997736.1353236991</v>
      </c>
      <c r="J19" s="577">
        <f t="shared" si="8"/>
        <v>1082729.8900342323</v>
      </c>
      <c r="K19" s="577">
        <f t="shared" si="8"/>
        <v>1174005.7471474304</v>
      </c>
      <c r="L19" s="577">
        <f t="shared" si="8"/>
        <v>1272002.0287986305</v>
      </c>
      <c r="M19" s="577">
        <f t="shared" si="8"/>
        <v>1377186.8269247159</v>
      </c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15">
      <c r="A20" s="92" t="s">
        <v>106</v>
      </c>
      <c r="B20" s="280"/>
      <c r="C20" s="280"/>
      <c r="D20" s="554"/>
      <c r="E20" s="555"/>
      <c r="F20" s="555"/>
      <c r="G20" s="556"/>
      <c r="H20" s="556"/>
      <c r="I20" s="556"/>
      <c r="J20" s="557"/>
      <c r="K20" s="557"/>
      <c r="L20" s="557"/>
      <c r="M20" s="55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15">
      <c r="A21" s="1" t="s">
        <v>320</v>
      </c>
      <c r="B21" s="267"/>
      <c r="C21" s="267"/>
      <c r="D21" s="578"/>
      <c r="E21" s="579">
        <v>1</v>
      </c>
      <c r="F21" s="579"/>
      <c r="G21" s="580"/>
      <c r="H21" s="580"/>
      <c r="I21" s="582"/>
      <c r="J21" s="581"/>
      <c r="K21" s="581"/>
      <c r="L21" s="581"/>
      <c r="M21" s="581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15">
      <c r="A22" s="1" t="s">
        <v>335</v>
      </c>
      <c r="B22" s="267"/>
      <c r="C22" s="44"/>
      <c r="D22" s="523">
        <f>D21</f>
        <v>0</v>
      </c>
      <c r="E22" s="524">
        <f t="shared" ref="E22:M22" si="9">D22+E21</f>
        <v>1</v>
      </c>
      <c r="F22" s="524">
        <f t="shared" si="9"/>
        <v>1</v>
      </c>
      <c r="G22" s="525">
        <f t="shared" si="9"/>
        <v>1</v>
      </c>
      <c r="H22" s="525">
        <f t="shared" si="9"/>
        <v>1</v>
      </c>
      <c r="I22" s="525">
        <f t="shared" si="9"/>
        <v>1</v>
      </c>
      <c r="J22" s="522">
        <f t="shared" si="9"/>
        <v>1</v>
      </c>
      <c r="K22" s="522">
        <f t="shared" si="9"/>
        <v>1</v>
      </c>
      <c r="L22" s="522">
        <f t="shared" si="9"/>
        <v>1</v>
      </c>
      <c r="M22" s="522">
        <f t="shared" si="9"/>
        <v>1</v>
      </c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15">
      <c r="A23" s="1" t="s">
        <v>350</v>
      </c>
      <c r="B23" s="267"/>
      <c r="C23" s="267"/>
      <c r="D23" s="578"/>
      <c r="E23" s="563">
        <f>-B12*B13*E21</f>
        <v>-4793950</v>
      </c>
      <c r="F23" s="596"/>
      <c r="G23" s="582"/>
      <c r="H23" s="582"/>
      <c r="I23" s="582"/>
      <c r="J23" s="581"/>
      <c r="K23" s="581"/>
      <c r="L23" s="581"/>
      <c r="M23" s="581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15">
      <c r="A24" s="1" t="s">
        <v>351</v>
      </c>
      <c r="B24" s="535">
        <f>'Project Data'!B12</f>
        <v>0.2</v>
      </c>
      <c r="C24" s="267"/>
      <c r="D24" s="578"/>
      <c r="E24" s="563">
        <f>B24*E23*E21</f>
        <v>-958790</v>
      </c>
      <c r="F24" s="596"/>
      <c r="G24" s="582"/>
      <c r="H24" s="582"/>
      <c r="I24" s="582"/>
      <c r="J24" s="581"/>
      <c r="K24" s="581"/>
      <c r="L24" s="581"/>
      <c r="M24" s="581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15">
      <c r="A25" s="277" t="s">
        <v>170</v>
      </c>
      <c r="B25" s="25"/>
      <c r="C25" s="283"/>
      <c r="D25" s="583"/>
      <c r="E25" s="925">
        <f>SUM(E23:E24)</f>
        <v>-5752740</v>
      </c>
      <c r="F25" s="607"/>
      <c r="G25" s="585"/>
      <c r="H25" s="585"/>
      <c r="I25" s="585"/>
      <c r="J25" s="586"/>
      <c r="K25" s="586"/>
      <c r="L25" s="586"/>
      <c r="M25" s="586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15">
      <c r="A26" s="92" t="s">
        <v>174</v>
      </c>
      <c r="B26" s="280"/>
      <c r="C26" s="280"/>
      <c r="D26" s="554"/>
      <c r="E26" s="555"/>
      <c r="F26" s="555"/>
      <c r="G26" s="556"/>
      <c r="H26" s="556"/>
      <c r="I26" s="556"/>
      <c r="J26" s="557"/>
      <c r="K26" s="557"/>
      <c r="L26" s="557"/>
      <c r="M26" s="55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15">
      <c r="A27" s="1" t="s">
        <v>177</v>
      </c>
      <c r="B27" s="587"/>
      <c r="C27" s="587"/>
      <c r="D27" s="588"/>
      <c r="E27" s="589">
        <f t="shared" ref="E27:M27" si="10">E19</f>
        <v>0</v>
      </c>
      <c r="F27" s="589">
        <f t="shared" si="10"/>
        <v>776472.34221899975</v>
      </c>
      <c r="G27" s="590">
        <f t="shared" si="10"/>
        <v>844979.3877267791</v>
      </c>
      <c r="H27" s="590">
        <f t="shared" si="10"/>
        <v>918614.06024599448</v>
      </c>
      <c r="I27" s="590">
        <f t="shared" si="10"/>
        <v>997736.1353236991</v>
      </c>
      <c r="J27" s="591">
        <f t="shared" si="10"/>
        <v>1082729.8900342323</v>
      </c>
      <c r="K27" s="591">
        <f t="shared" si="10"/>
        <v>1174005.7471474304</v>
      </c>
      <c r="L27" s="591">
        <f t="shared" si="10"/>
        <v>1272002.0287986305</v>
      </c>
      <c r="M27" s="591">
        <f t="shared" si="10"/>
        <v>1377186.8269247159</v>
      </c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15">
      <c r="A28" s="1" t="s">
        <v>344</v>
      </c>
      <c r="B28" s="535">
        <v>0.11</v>
      </c>
      <c r="C28" s="535"/>
      <c r="D28" s="592"/>
      <c r="E28" s="593"/>
      <c r="F28" s="593"/>
      <c r="G28" s="594"/>
      <c r="H28" s="594"/>
      <c r="I28" s="594"/>
      <c r="J28" s="595"/>
      <c r="K28" s="595"/>
      <c r="L28" s="595"/>
      <c r="M28" s="595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15">
      <c r="A29" s="1" t="s">
        <v>324</v>
      </c>
      <c r="B29" s="44"/>
      <c r="C29" s="44"/>
      <c r="D29" s="592"/>
      <c r="E29" s="589"/>
      <c r="F29" s="589"/>
      <c r="G29" s="590"/>
      <c r="H29" s="590"/>
      <c r="I29" s="590"/>
      <c r="J29" s="591"/>
      <c r="K29" s="591"/>
      <c r="L29" s="591"/>
      <c r="M29" s="591">
        <f>M27/$B$28</f>
        <v>12519880.244770145</v>
      </c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15">
      <c r="A30" s="1" t="s">
        <v>325</v>
      </c>
      <c r="B30" s="44">
        <v>0.03</v>
      </c>
      <c r="C30" s="44"/>
      <c r="D30" s="592"/>
      <c r="E30" s="596"/>
      <c r="F30" s="596"/>
      <c r="G30" s="582"/>
      <c r="H30" s="582"/>
      <c r="I30" s="582"/>
      <c r="J30" s="581"/>
      <c r="K30" s="581"/>
      <c r="L30" s="581"/>
      <c r="M30" s="591">
        <f>M29*B30</f>
        <v>375596.40734310437</v>
      </c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15">
      <c r="A31" s="1" t="s">
        <v>170</v>
      </c>
      <c r="B31" s="44"/>
      <c r="C31" s="44"/>
      <c r="D31" s="578"/>
      <c r="E31" s="563">
        <f>E25</f>
        <v>-5752740</v>
      </c>
      <c r="F31" s="596"/>
      <c r="G31" s="582"/>
      <c r="H31" s="582"/>
      <c r="I31" s="582"/>
      <c r="J31" s="581"/>
      <c r="K31" s="581"/>
      <c r="L31" s="581"/>
      <c r="M31" s="581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15">
      <c r="A32" s="279" t="s">
        <v>326</v>
      </c>
      <c r="B32" s="282"/>
      <c r="C32" s="282"/>
      <c r="D32" s="597">
        <f t="shared" ref="D32:M32" si="11">SUM(D27:D31)</f>
        <v>0</v>
      </c>
      <c r="E32" s="611">
        <f t="shared" si="11"/>
        <v>-5752740</v>
      </c>
      <c r="F32" s="611">
        <f t="shared" si="11"/>
        <v>776472.34221899975</v>
      </c>
      <c r="G32" s="612">
        <f t="shared" si="11"/>
        <v>844979.3877267791</v>
      </c>
      <c r="H32" s="570">
        <f t="shared" si="11"/>
        <v>918614.06024599448</v>
      </c>
      <c r="I32" s="570">
        <f t="shared" si="11"/>
        <v>997736.1353236991</v>
      </c>
      <c r="J32" s="571">
        <f t="shared" si="11"/>
        <v>1082729.8900342323</v>
      </c>
      <c r="K32" s="571">
        <f t="shared" si="11"/>
        <v>1174005.7471474304</v>
      </c>
      <c r="L32" s="571">
        <f t="shared" si="11"/>
        <v>1272002.0287986305</v>
      </c>
      <c r="M32" s="571">
        <f t="shared" si="11"/>
        <v>14272663.479037965</v>
      </c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15">
      <c r="A33" s="11" t="s">
        <v>327</v>
      </c>
      <c r="B33" s="615">
        <v>0.1</v>
      </c>
      <c r="C33" s="615"/>
      <c r="D33" s="598"/>
      <c r="E33" s="630"/>
      <c r="F33" s="630"/>
      <c r="G33" s="631"/>
      <c r="H33" s="631"/>
      <c r="I33" s="631"/>
      <c r="J33" s="632"/>
      <c r="K33" s="632"/>
      <c r="L33" s="632"/>
      <c r="M33" s="632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15">
      <c r="A34" s="92" t="s">
        <v>218</v>
      </c>
      <c r="B34" s="471"/>
      <c r="C34" s="471"/>
      <c r="D34" s="930">
        <f t="array" ref="D34">NPV(B33,D32:M32)</f>
        <v>4685236.6071250318</v>
      </c>
      <c r="E34" s="555"/>
      <c r="F34" s="555"/>
      <c r="G34" s="556"/>
      <c r="H34" s="556"/>
      <c r="I34" s="556"/>
      <c r="J34" s="557"/>
      <c r="K34" s="557"/>
      <c r="L34" s="557"/>
      <c r="M34" s="557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15">
      <c r="A35" s="281" t="s">
        <v>224</v>
      </c>
      <c r="B35" s="283"/>
      <c r="C35" s="283"/>
      <c r="D35" s="931">
        <f>IRR(D32:M32,B33)</f>
        <v>0.23430264943435453</v>
      </c>
      <c r="E35" s="599"/>
      <c r="F35" s="599"/>
      <c r="G35" s="600"/>
      <c r="H35" s="600"/>
      <c r="I35" s="600"/>
      <c r="J35" s="601"/>
      <c r="K35" s="601"/>
      <c r="L35" s="601"/>
      <c r="M35" s="601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15">
      <c r="A36" s="281" t="s">
        <v>229</v>
      </c>
      <c r="B36" s="283"/>
      <c r="C36" s="283"/>
      <c r="D36" s="602"/>
      <c r="E36" s="599"/>
      <c r="F36" s="599"/>
      <c r="G36" s="600"/>
      <c r="H36" s="600"/>
      <c r="I36" s="600"/>
      <c r="J36" s="601"/>
      <c r="K36" s="601"/>
      <c r="L36" s="601"/>
      <c r="M36" s="601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15">
      <c r="A37" s="7"/>
      <c r="B37" s="16"/>
      <c r="C37" s="16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" x14ac:dyDescent="0.1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" x14ac:dyDescent="0.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" x14ac:dyDescent="0.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honeticPr fontId="24" type="noConversion"/>
  <pageMargins left="0.7" right="0.7" top="0.75" bottom="0.75" header="0.3" footer="0.3"/>
  <pageSetup paperSize="3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56" sqref="D55:D56"/>
    </sheetView>
  </sheetViews>
  <sheetFormatPr baseColWidth="10" defaultColWidth="17.33203125" defaultRowHeight="15" customHeight="1" x14ac:dyDescent="0.15"/>
  <cols>
    <col min="1" max="1" width="24.5" customWidth="1"/>
    <col min="2" max="13" width="11.5" customWidth="1"/>
    <col min="14" max="23" width="9.1640625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15">
      <c r="A2" s="11" t="s">
        <v>91</v>
      </c>
      <c r="B2" s="16"/>
      <c r="C2" s="16"/>
      <c r="D2" s="7"/>
      <c r="E2" s="7"/>
      <c r="F2" s="7"/>
      <c r="G2" s="7"/>
      <c r="H2" s="7"/>
      <c r="I2" s="7"/>
      <c r="J2" s="7"/>
      <c r="K2" s="7"/>
      <c r="L2" s="548"/>
      <c r="M2" s="250"/>
      <c r="N2" s="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15">
      <c r="A3" s="7"/>
      <c r="B3" s="16"/>
      <c r="C3" s="16" t="s">
        <v>18</v>
      </c>
      <c r="D3" s="15" t="s">
        <v>19</v>
      </c>
      <c r="E3" s="17" t="s">
        <v>20</v>
      </c>
      <c r="F3" s="17"/>
      <c r="G3" s="18" t="s">
        <v>21</v>
      </c>
      <c r="H3" s="19"/>
      <c r="I3" s="18"/>
      <c r="J3" s="902" t="s">
        <v>22</v>
      </c>
      <c r="K3" s="903"/>
      <c r="L3" s="903"/>
      <c r="M3" s="903"/>
      <c r="N3" s="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15">
      <c r="A4" s="86"/>
      <c r="B4" s="27" t="s">
        <v>25</v>
      </c>
      <c r="C4" s="27" t="s">
        <v>24</v>
      </c>
      <c r="D4" s="470">
        <v>2019</v>
      </c>
      <c r="E4" s="29">
        <f t="shared" ref="E4:M4" si="0">D4+1</f>
        <v>2020</v>
      </c>
      <c r="F4" s="29">
        <f t="shared" si="0"/>
        <v>2021</v>
      </c>
      <c r="G4" s="31">
        <f t="shared" si="0"/>
        <v>2022</v>
      </c>
      <c r="H4" s="31">
        <f t="shared" si="0"/>
        <v>2023</v>
      </c>
      <c r="I4" s="31">
        <f t="shared" si="0"/>
        <v>2024</v>
      </c>
      <c r="J4" s="904">
        <f t="shared" si="0"/>
        <v>2025</v>
      </c>
      <c r="K4" s="904">
        <f t="shared" si="0"/>
        <v>2026</v>
      </c>
      <c r="L4" s="904">
        <f t="shared" si="0"/>
        <v>2027</v>
      </c>
      <c r="M4" s="904">
        <f t="shared" si="0"/>
        <v>2028</v>
      </c>
      <c r="N4" s="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" customHeight="1" x14ac:dyDescent="0.15">
      <c r="A5" s="87" t="s">
        <v>302</v>
      </c>
      <c r="B5" s="541"/>
      <c r="C5" s="541"/>
      <c r="D5" s="222"/>
      <c r="E5" s="224"/>
      <c r="F5" s="224"/>
      <c r="G5" s="227"/>
      <c r="H5" s="227"/>
      <c r="I5" s="227"/>
      <c r="J5" s="905"/>
      <c r="K5" s="905"/>
      <c r="L5" s="905"/>
      <c r="M5" s="905"/>
      <c r="N5" s="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15">
      <c r="A6" s="77" t="s">
        <v>244</v>
      </c>
      <c r="B6" s="275">
        <f>'Project Data'!B3</f>
        <v>3.5000000000000003E-2</v>
      </c>
      <c r="C6" s="44"/>
      <c r="D6" s="71"/>
      <c r="E6" s="82"/>
      <c r="F6" s="82"/>
      <c r="G6" s="65"/>
      <c r="H6" s="65"/>
      <c r="I6" s="65"/>
      <c r="J6" s="906"/>
      <c r="K6" s="906"/>
      <c r="L6" s="906"/>
      <c r="M6" s="906"/>
      <c r="N6" s="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15">
      <c r="A7" s="77" t="s">
        <v>134</v>
      </c>
      <c r="B7" s="267">
        <f>'Project Data'!Y143</f>
        <v>95595.5</v>
      </c>
      <c r="C7" s="267"/>
      <c r="D7" s="472"/>
      <c r="E7" s="473"/>
      <c r="F7" s="473"/>
      <c r="G7" s="474"/>
      <c r="H7" s="474"/>
      <c r="I7" s="474"/>
      <c r="J7" s="907"/>
      <c r="K7" s="907"/>
      <c r="L7" s="907"/>
      <c r="M7" s="907"/>
      <c r="N7" s="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15">
      <c r="A8" s="77" t="s">
        <v>364</v>
      </c>
      <c r="B8" s="637">
        <f>B7/'Project Data'!B101</f>
        <v>955.95500000000004</v>
      </c>
      <c r="C8" s="267"/>
      <c r="D8" s="472"/>
      <c r="E8" s="473"/>
      <c r="F8" s="473"/>
      <c r="G8" s="474"/>
      <c r="H8" s="474"/>
      <c r="I8" s="474"/>
      <c r="J8" s="907"/>
      <c r="K8" s="907"/>
      <c r="L8" s="907"/>
      <c r="M8" s="907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15">
      <c r="A9" s="543" t="s">
        <v>365</v>
      </c>
      <c r="B9" s="267"/>
      <c r="C9" s="267"/>
      <c r="D9" s="472"/>
      <c r="E9" s="473"/>
      <c r="F9" s="473"/>
      <c r="G9" s="474"/>
      <c r="H9" s="474"/>
      <c r="I9" s="474"/>
      <c r="J9" s="907"/>
      <c r="K9" s="907"/>
      <c r="L9" s="907"/>
      <c r="M9" s="907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15">
      <c r="A10" s="1" t="s">
        <v>366</v>
      </c>
      <c r="B10" s="476">
        <f>'Project Data'!B106</f>
        <v>150</v>
      </c>
      <c r="C10" s="267"/>
      <c r="D10" s="638">
        <f>B10</f>
        <v>150</v>
      </c>
      <c r="E10" s="639">
        <f t="shared" ref="E10:M10" si="1">D10*(1+$B$6)</f>
        <v>155.25</v>
      </c>
      <c r="F10" s="639">
        <f t="shared" si="1"/>
        <v>160.68374999999997</v>
      </c>
      <c r="G10" s="641">
        <f t="shared" si="1"/>
        <v>166.30768124999997</v>
      </c>
      <c r="H10" s="641">
        <f t="shared" si="1"/>
        <v>172.12845009374996</v>
      </c>
      <c r="I10" s="641">
        <f t="shared" si="1"/>
        <v>178.15294584703119</v>
      </c>
      <c r="J10" s="908">
        <f t="shared" si="1"/>
        <v>184.38829895167726</v>
      </c>
      <c r="K10" s="908">
        <f t="shared" si="1"/>
        <v>190.84188941498596</v>
      </c>
      <c r="L10" s="908">
        <f t="shared" si="1"/>
        <v>197.52135554451044</v>
      </c>
      <c r="M10" s="908">
        <f t="shared" si="1"/>
        <v>204.43460298856829</v>
      </c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15">
      <c r="A11" s="1" t="s">
        <v>368</v>
      </c>
      <c r="B11" s="266">
        <f>'Project Data'!B107</f>
        <v>33.753999999999998</v>
      </c>
      <c r="C11" s="267"/>
      <c r="D11" s="550"/>
      <c r="E11" s="551"/>
      <c r="F11" s="639"/>
      <c r="G11" s="552"/>
      <c r="H11" s="552"/>
      <c r="I11" s="552"/>
      <c r="J11" s="909"/>
      <c r="K11" s="909"/>
      <c r="L11" s="909"/>
      <c r="M11" s="909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15">
      <c r="A12" s="1" t="s">
        <v>163</v>
      </c>
      <c r="B12" s="44">
        <v>0.6</v>
      </c>
      <c r="C12" s="267"/>
      <c r="D12" s="643"/>
      <c r="E12" s="551"/>
      <c r="F12" s="551">
        <f>B12</f>
        <v>0.6</v>
      </c>
      <c r="G12" s="552">
        <f t="shared" ref="G12:M12" si="2">F12+3%</f>
        <v>0.63</v>
      </c>
      <c r="H12" s="552">
        <f t="shared" si="2"/>
        <v>0.66</v>
      </c>
      <c r="I12" s="552">
        <f t="shared" si="2"/>
        <v>0.69000000000000006</v>
      </c>
      <c r="J12" s="909">
        <f t="shared" si="2"/>
        <v>0.72000000000000008</v>
      </c>
      <c r="K12" s="909">
        <f t="shared" si="2"/>
        <v>0.75000000000000011</v>
      </c>
      <c r="L12" s="909">
        <f t="shared" si="2"/>
        <v>0.78000000000000014</v>
      </c>
      <c r="M12" s="909">
        <f t="shared" si="2"/>
        <v>0.81000000000000016</v>
      </c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15">
      <c r="A13" s="1" t="s">
        <v>369</v>
      </c>
      <c r="B13" s="476"/>
      <c r="C13" s="267"/>
      <c r="D13" s="638"/>
      <c r="E13" s="551">
        <v>0.2</v>
      </c>
      <c r="F13" s="551">
        <f t="shared" ref="F13:I13" si="3">20%+E13</f>
        <v>0.4</v>
      </c>
      <c r="G13" s="552">
        <f t="shared" si="3"/>
        <v>0.60000000000000009</v>
      </c>
      <c r="H13" s="552">
        <f t="shared" si="3"/>
        <v>0.8</v>
      </c>
      <c r="I13" s="552">
        <f t="shared" si="3"/>
        <v>1</v>
      </c>
      <c r="J13" s="909"/>
      <c r="K13" s="909"/>
      <c r="L13" s="909"/>
      <c r="M13" s="909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15">
      <c r="A14" s="1"/>
      <c r="B14" s="476"/>
      <c r="C14" s="267"/>
      <c r="D14" s="638"/>
      <c r="E14" s="639"/>
      <c r="F14" s="639"/>
      <c r="G14" s="641"/>
      <c r="H14" s="641"/>
      <c r="I14" s="641"/>
      <c r="J14" s="908"/>
      <c r="K14" s="908"/>
      <c r="L14" s="908"/>
      <c r="M14" s="908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15">
      <c r="A15" s="1" t="s">
        <v>370</v>
      </c>
      <c r="B15" s="476">
        <f>'Project Data'!B109</f>
        <v>175</v>
      </c>
      <c r="C15" s="267"/>
      <c r="D15" s="638">
        <f>B15</f>
        <v>175</v>
      </c>
      <c r="E15" s="639">
        <f t="shared" ref="E15:M15" si="4">D15*(1+$B$6)</f>
        <v>181.125</v>
      </c>
      <c r="F15" s="639">
        <f t="shared" si="4"/>
        <v>187.46437499999999</v>
      </c>
      <c r="G15" s="641">
        <f t="shared" si="4"/>
        <v>194.02562812499997</v>
      </c>
      <c r="H15" s="641">
        <f t="shared" si="4"/>
        <v>200.81652510937496</v>
      </c>
      <c r="I15" s="641">
        <f t="shared" si="4"/>
        <v>207.84510348820308</v>
      </c>
      <c r="J15" s="908">
        <f t="shared" si="4"/>
        <v>215.11968211029017</v>
      </c>
      <c r="K15" s="908">
        <f t="shared" si="4"/>
        <v>222.64887098415031</v>
      </c>
      <c r="L15" s="908">
        <f t="shared" si="4"/>
        <v>230.44158146859556</v>
      </c>
      <c r="M15" s="908">
        <f t="shared" si="4"/>
        <v>238.50703681999639</v>
      </c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5" customHeight="1" x14ac:dyDescent="0.15">
      <c r="A16" s="1" t="s">
        <v>371</v>
      </c>
      <c r="B16" s="266">
        <f>'Project Data'!B110</f>
        <v>122.184</v>
      </c>
      <c r="C16" s="267"/>
      <c r="D16" s="550"/>
      <c r="E16" s="551"/>
      <c r="F16" s="639"/>
      <c r="G16" s="552"/>
      <c r="H16" s="552"/>
      <c r="I16" s="552"/>
      <c r="J16" s="909"/>
      <c r="K16" s="909"/>
      <c r="L16" s="909"/>
      <c r="M16" s="909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15">
      <c r="A17" s="1" t="s">
        <v>163</v>
      </c>
      <c r="B17" s="44">
        <v>0.6</v>
      </c>
      <c r="C17" s="267"/>
      <c r="D17" s="550"/>
      <c r="E17" s="551"/>
      <c r="F17" s="639"/>
      <c r="G17" s="552"/>
      <c r="H17" s="552"/>
      <c r="I17" s="552"/>
      <c r="J17" s="909">
        <f>B17</f>
        <v>0.6</v>
      </c>
      <c r="K17" s="909">
        <f t="shared" ref="K17:M17" si="5">J17+3%</f>
        <v>0.63</v>
      </c>
      <c r="L17" s="909">
        <f t="shared" si="5"/>
        <v>0.66</v>
      </c>
      <c r="M17" s="909">
        <f t="shared" si="5"/>
        <v>0.69000000000000006</v>
      </c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5" customHeight="1" x14ac:dyDescent="0.15">
      <c r="A18" s="543" t="s">
        <v>372</v>
      </c>
      <c r="B18" s="44"/>
      <c r="C18" s="267"/>
      <c r="D18" s="550"/>
      <c r="E18" s="551"/>
      <c r="F18" s="639"/>
      <c r="G18" s="552"/>
      <c r="H18" s="552"/>
      <c r="I18" s="552"/>
      <c r="J18" s="909"/>
      <c r="K18" s="909"/>
      <c r="L18" s="909"/>
      <c r="M18" s="909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15">
      <c r="A19" s="1" t="s">
        <v>373</v>
      </c>
      <c r="B19" s="476">
        <f>'Project Data'!B117</f>
        <v>1</v>
      </c>
      <c r="C19" s="267"/>
      <c r="D19" s="638">
        <f>B19</f>
        <v>1</v>
      </c>
      <c r="E19" s="639">
        <f t="shared" ref="E19:M19" si="6">D19*(1+$B$6)</f>
        <v>1.0349999999999999</v>
      </c>
      <c r="F19" s="639">
        <f t="shared" si="6"/>
        <v>1.0712249999999999</v>
      </c>
      <c r="G19" s="641">
        <f t="shared" si="6"/>
        <v>1.1087178749999997</v>
      </c>
      <c r="H19" s="641">
        <f t="shared" si="6"/>
        <v>1.1475230006249997</v>
      </c>
      <c r="I19" s="641">
        <f t="shared" si="6"/>
        <v>1.1876863056468745</v>
      </c>
      <c r="J19" s="908">
        <f t="shared" si="6"/>
        <v>1.229255326344515</v>
      </c>
      <c r="K19" s="908">
        <f t="shared" si="6"/>
        <v>1.2722792627665729</v>
      </c>
      <c r="L19" s="908">
        <f t="shared" si="6"/>
        <v>1.3168090369634029</v>
      </c>
      <c r="M19" s="908">
        <f t="shared" si="6"/>
        <v>1.3628973532571218</v>
      </c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 x14ac:dyDescent="0.15">
      <c r="A20" s="1" t="s">
        <v>375</v>
      </c>
      <c r="B20" s="266">
        <f>'Project Data'!B113</f>
        <v>95.960499999999968</v>
      </c>
      <c r="C20" s="267"/>
      <c r="D20" s="550"/>
      <c r="E20" s="551"/>
      <c r="F20" s="639"/>
      <c r="G20" s="552"/>
      <c r="H20" s="552"/>
      <c r="I20" s="552"/>
      <c r="J20" s="909"/>
      <c r="K20" s="909"/>
      <c r="L20" s="909"/>
      <c r="M20" s="909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15">
      <c r="A21" s="1" t="s">
        <v>163</v>
      </c>
      <c r="B21" s="44">
        <v>0.6</v>
      </c>
      <c r="C21" s="267"/>
      <c r="D21" s="550"/>
      <c r="E21" s="551"/>
      <c r="F21" s="639"/>
      <c r="G21" s="552"/>
      <c r="H21" s="552"/>
      <c r="I21" s="552"/>
      <c r="J21" s="909">
        <f>B21</f>
        <v>0.6</v>
      </c>
      <c r="K21" s="909">
        <f t="shared" ref="K21:M21" si="7">J21+3%</f>
        <v>0.63</v>
      </c>
      <c r="L21" s="909">
        <f t="shared" si="7"/>
        <v>0.66</v>
      </c>
      <c r="M21" s="909">
        <f t="shared" si="7"/>
        <v>0.69000000000000006</v>
      </c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15">
      <c r="A22" s="1"/>
      <c r="B22" s="266"/>
      <c r="C22" s="267"/>
      <c r="D22" s="550"/>
      <c r="E22" s="551"/>
      <c r="F22" s="639"/>
      <c r="G22" s="641"/>
      <c r="H22" s="641"/>
      <c r="I22" s="641"/>
      <c r="J22" s="908"/>
      <c r="K22" s="908"/>
      <c r="L22" s="908"/>
      <c r="M22" s="908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15">
      <c r="A23" s="1" t="s">
        <v>377</v>
      </c>
      <c r="B23" s="266">
        <f>'Project Data'!B115</f>
        <v>226.07899999999998</v>
      </c>
      <c r="C23" s="267"/>
      <c r="D23" s="550"/>
      <c r="E23" s="551"/>
      <c r="F23" s="639"/>
      <c r="G23" s="641"/>
      <c r="H23" s="641"/>
      <c r="I23" s="641"/>
      <c r="J23" s="908"/>
      <c r="K23" s="908"/>
      <c r="L23" s="908"/>
      <c r="M23" s="908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15">
      <c r="A24" s="1" t="s">
        <v>163</v>
      </c>
      <c r="B24" s="44">
        <v>0.5</v>
      </c>
      <c r="C24" s="267"/>
      <c r="D24" s="550"/>
      <c r="E24" s="551">
        <f>B24</f>
        <v>0.5</v>
      </c>
      <c r="F24" s="551">
        <f>B24+3%</f>
        <v>0.53</v>
      </c>
      <c r="G24" s="552">
        <f t="shared" ref="G24:M24" si="8">F24+3%</f>
        <v>0.56000000000000005</v>
      </c>
      <c r="H24" s="552">
        <f t="shared" si="8"/>
        <v>0.59000000000000008</v>
      </c>
      <c r="I24" s="552">
        <f t="shared" si="8"/>
        <v>0.62000000000000011</v>
      </c>
      <c r="J24" s="909">
        <f t="shared" si="8"/>
        <v>0.65000000000000013</v>
      </c>
      <c r="K24" s="909">
        <f t="shared" si="8"/>
        <v>0.68000000000000016</v>
      </c>
      <c r="L24" s="909">
        <f t="shared" si="8"/>
        <v>0.71000000000000019</v>
      </c>
      <c r="M24" s="909">
        <f t="shared" si="8"/>
        <v>0.74000000000000021</v>
      </c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 x14ac:dyDescent="0.15">
      <c r="A25" s="543" t="s">
        <v>378</v>
      </c>
      <c r="B25" s="267"/>
      <c r="C25" s="267"/>
      <c r="D25" s="550"/>
      <c r="E25" s="551"/>
      <c r="F25" s="551"/>
      <c r="G25" s="552"/>
      <c r="H25" s="552"/>
      <c r="I25" s="552"/>
      <c r="J25" s="909"/>
      <c r="K25" s="909"/>
      <c r="L25" s="909"/>
      <c r="M25" s="909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15">
      <c r="A26" s="645" t="s">
        <v>132</v>
      </c>
      <c r="B26" s="25"/>
      <c r="C26" s="646">
        <f>-'Project Data'!B118</f>
        <v>-0.5</v>
      </c>
      <c r="D26" s="647">
        <f>C26</f>
        <v>-0.5</v>
      </c>
      <c r="E26" s="648">
        <f t="shared" ref="E26:M26" si="9">D26*(1+$B$6)</f>
        <v>-0.51749999999999996</v>
      </c>
      <c r="F26" s="648">
        <f t="shared" si="9"/>
        <v>-0.53561249999999994</v>
      </c>
      <c r="G26" s="649">
        <f t="shared" si="9"/>
        <v>-0.55435893749999987</v>
      </c>
      <c r="H26" s="649">
        <f t="shared" si="9"/>
        <v>-0.57376150031249984</v>
      </c>
      <c r="I26" s="649">
        <f t="shared" si="9"/>
        <v>-0.59384315282343725</v>
      </c>
      <c r="J26" s="910">
        <f t="shared" si="9"/>
        <v>-0.61462766317225748</v>
      </c>
      <c r="K26" s="910">
        <f t="shared" si="9"/>
        <v>-0.63613963138328644</v>
      </c>
      <c r="L26" s="910">
        <f t="shared" si="9"/>
        <v>-0.65840451848170145</v>
      </c>
      <c r="M26" s="910">
        <f t="shared" si="9"/>
        <v>-0.6814486766285609</v>
      </c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15">
      <c r="A27" s="87" t="s">
        <v>177</v>
      </c>
      <c r="B27" s="541"/>
      <c r="C27" s="541"/>
      <c r="D27" s="554"/>
      <c r="E27" s="589"/>
      <c r="F27" s="589"/>
      <c r="G27" s="556"/>
      <c r="H27" s="556"/>
      <c r="I27" s="556"/>
      <c r="J27" s="911"/>
      <c r="K27" s="911"/>
      <c r="L27" s="911"/>
      <c r="M27" s="911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15">
      <c r="A28" s="77" t="s">
        <v>381</v>
      </c>
      <c r="B28" s="267"/>
      <c r="C28" s="267"/>
      <c r="D28" s="554"/>
      <c r="E28" s="589"/>
      <c r="F28" s="589"/>
      <c r="G28" s="556"/>
      <c r="H28" s="556"/>
      <c r="I28" s="556"/>
      <c r="J28" s="911"/>
      <c r="K28" s="911"/>
      <c r="L28" s="911"/>
      <c r="M28" s="911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15">
      <c r="A29" s="653" t="s">
        <v>382</v>
      </c>
      <c r="B29" s="267"/>
      <c r="C29" s="267"/>
      <c r="D29" s="588"/>
      <c r="E29" s="589"/>
      <c r="F29" s="589"/>
      <c r="G29" s="657"/>
      <c r="H29" s="657"/>
      <c r="I29" s="657"/>
      <c r="J29" s="908"/>
      <c r="K29" s="908"/>
      <c r="L29" s="908"/>
      <c r="M29" s="908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15">
      <c r="A30" s="1" t="s">
        <v>383</v>
      </c>
      <c r="B30" s="267"/>
      <c r="C30" s="267"/>
      <c r="D30" s="592"/>
      <c r="E30" s="589"/>
      <c r="F30" s="589">
        <f t="shared" ref="F30:I30" si="10">$B$11*F10*F12*F13*12</f>
        <v>15620.311576799997</v>
      </c>
      <c r="G30" s="657">
        <f t="shared" si="10"/>
        <v>25463.060409131096</v>
      </c>
      <c r="H30" s="657">
        <f t="shared" si="10"/>
        <v>36812.310191486664</v>
      </c>
      <c r="I30" s="657">
        <f t="shared" si="10"/>
        <v>49790.741142519328</v>
      </c>
      <c r="J30" s="908">
        <f t="shared" ref="J30:M30" si="11">$B$11*J10*J12*12</f>
        <v>53774.000433920861</v>
      </c>
      <c r="K30" s="908">
        <f t="shared" si="11"/>
        <v>57975.09421782093</v>
      </c>
      <c r="L30" s="908">
        <f t="shared" si="11"/>
        <v>62404.391416062441</v>
      </c>
      <c r="M30" s="908">
        <f t="shared" si="11"/>
        <v>67072.719927764032</v>
      </c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15">
      <c r="A31" s="1" t="s">
        <v>385</v>
      </c>
      <c r="B31" s="267"/>
      <c r="C31" s="267"/>
      <c r="D31" s="592"/>
      <c r="E31" s="589"/>
      <c r="F31" s="589"/>
      <c r="G31" s="657"/>
      <c r="H31" s="657"/>
      <c r="I31" s="657"/>
      <c r="J31" s="908">
        <f t="shared" ref="J31:M31" si="12">$B$16*J15*J17*12</f>
        <v>189246.11932053859</v>
      </c>
      <c r="K31" s="908">
        <f t="shared" si="12"/>
        <v>205663.22017159531</v>
      </c>
      <c r="L31" s="908">
        <f t="shared" si="12"/>
        <v>222997.6915860583</v>
      </c>
      <c r="M31" s="908">
        <f t="shared" si="12"/>
        <v>241293.63855482356</v>
      </c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15">
      <c r="A32" s="653" t="s">
        <v>386</v>
      </c>
      <c r="B32" s="267"/>
      <c r="C32" s="267"/>
      <c r="D32" s="592"/>
      <c r="E32" s="589"/>
      <c r="F32" s="589"/>
      <c r="G32" s="657"/>
      <c r="H32" s="657"/>
      <c r="I32" s="657"/>
      <c r="J32" s="912"/>
      <c r="K32" s="912"/>
      <c r="L32" s="912"/>
      <c r="M32" s="912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15">
      <c r="A33" s="1" t="s">
        <v>387</v>
      </c>
      <c r="B33" s="267"/>
      <c r="C33" s="267"/>
      <c r="D33" s="592"/>
      <c r="E33" s="589"/>
      <c r="F33" s="589"/>
      <c r="G33" s="657"/>
      <c r="H33" s="657"/>
      <c r="I33" s="657"/>
      <c r="J33" s="908">
        <f t="shared" ref="J33:M33" si="13">$B$20*J19*J21*24*365</f>
        <v>619997.52738879668</v>
      </c>
      <c r="K33" s="908">
        <f t="shared" si="13"/>
        <v>673782.3128897748</v>
      </c>
      <c r="L33" s="908">
        <f t="shared" si="13"/>
        <v>730572.5364047701</v>
      </c>
      <c r="M33" s="908">
        <f t="shared" si="13"/>
        <v>790512.69223252498</v>
      </c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15">
      <c r="A34" s="1" t="s">
        <v>67</v>
      </c>
      <c r="B34" s="267"/>
      <c r="C34" s="267"/>
      <c r="D34" s="592"/>
      <c r="E34" s="589">
        <f t="shared" ref="E34:M34" si="14">$B$23*E19*E24*24*365</f>
        <v>1024883.9306999998</v>
      </c>
      <c r="F34" s="589">
        <f t="shared" si="14"/>
        <v>1124400.1603709697</v>
      </c>
      <c r="G34" s="657">
        <f t="shared" si="14"/>
        <v>1229627.0433038003</v>
      </c>
      <c r="H34" s="657">
        <f t="shared" si="14"/>
        <v>1340842.4178454741</v>
      </c>
      <c r="I34" s="657">
        <f t="shared" si="14"/>
        <v>1458336.5754770183</v>
      </c>
      <c r="J34" s="908">
        <f t="shared" si="14"/>
        <v>1582412.7921809093</v>
      </c>
      <c r="K34" s="908">
        <f t="shared" si="14"/>
        <v>1713387.8817491138</v>
      </c>
      <c r="L34" s="908">
        <f t="shared" si="14"/>
        <v>1851592.771916671</v>
      </c>
      <c r="M34" s="908">
        <f t="shared" si="14"/>
        <v>1997373.1042408145</v>
      </c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15">
      <c r="A35" s="77" t="s">
        <v>388</v>
      </c>
      <c r="B35" s="267"/>
      <c r="C35" s="267"/>
      <c r="D35" s="592"/>
      <c r="E35" s="589"/>
      <c r="F35" s="589">
        <f t="shared" ref="F35:M35" si="15">SUM(F30:F34)</f>
        <v>1140020.4719477696</v>
      </c>
      <c r="G35" s="657">
        <f t="shared" si="15"/>
        <v>1255090.1037129313</v>
      </c>
      <c r="H35" s="657">
        <f t="shared" si="15"/>
        <v>1377654.7280369608</v>
      </c>
      <c r="I35" s="657">
        <f t="shared" si="15"/>
        <v>1508127.3166195375</v>
      </c>
      <c r="J35" s="908">
        <f t="shared" si="15"/>
        <v>2445430.4393241657</v>
      </c>
      <c r="K35" s="908">
        <f t="shared" si="15"/>
        <v>2650808.5090283048</v>
      </c>
      <c r="L35" s="908">
        <f t="shared" si="15"/>
        <v>2867567.3913235618</v>
      </c>
      <c r="M35" s="908">
        <f t="shared" si="15"/>
        <v>3096252.1549559273</v>
      </c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 x14ac:dyDescent="0.15">
      <c r="A36" s="77" t="s">
        <v>132</v>
      </c>
      <c r="B36" s="476">
        <f>'Project Data'!B118</f>
        <v>0.5</v>
      </c>
      <c r="C36" s="267"/>
      <c r="D36" s="592"/>
      <c r="E36" s="589"/>
      <c r="F36" s="589">
        <f t="shared" ref="F36:M36" si="16">F26*$B$7</f>
        <v>-51202.144743749996</v>
      </c>
      <c r="G36" s="657">
        <f t="shared" si="16"/>
        <v>-52994.219809781236</v>
      </c>
      <c r="H36" s="657">
        <f t="shared" si="16"/>
        <v>-54849.017503123578</v>
      </c>
      <c r="I36" s="657">
        <f t="shared" si="16"/>
        <v>-56768.733115732895</v>
      </c>
      <c r="J36" s="563">
        <f t="shared" si="16"/>
        <v>-58755.63877478354</v>
      </c>
      <c r="K36" s="563">
        <f t="shared" si="16"/>
        <v>-60812.086131900956</v>
      </c>
      <c r="L36" s="563">
        <f t="shared" si="16"/>
        <v>-62940.509146517492</v>
      </c>
      <c r="M36" s="563">
        <f t="shared" si="16"/>
        <v>-65143.426966645595</v>
      </c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 x14ac:dyDescent="0.15">
      <c r="A37" s="211" t="s">
        <v>177</v>
      </c>
      <c r="B37" s="25"/>
      <c r="C37" s="25"/>
      <c r="D37" s="919"/>
      <c r="E37" s="920">
        <f t="shared" ref="E37:M37" si="17">SUM(E29:E36)</f>
        <v>1024883.9306999998</v>
      </c>
      <c r="F37" s="920">
        <f t="shared" si="17"/>
        <v>2228838.7991517894</v>
      </c>
      <c r="G37" s="923">
        <f t="shared" si="17"/>
        <v>2457185.9876160813</v>
      </c>
      <c r="H37" s="923">
        <f t="shared" si="17"/>
        <v>2700460.4385707979</v>
      </c>
      <c r="I37" s="923">
        <f t="shared" si="17"/>
        <v>2959485.9001233424</v>
      </c>
      <c r="J37" s="924">
        <f t="shared" si="17"/>
        <v>4832105.239873548</v>
      </c>
      <c r="K37" s="924">
        <f t="shared" si="17"/>
        <v>5240804.9319247091</v>
      </c>
      <c r="L37" s="910">
        <f t="shared" si="17"/>
        <v>5672194.2735006064</v>
      </c>
      <c r="M37" s="910">
        <f t="shared" si="17"/>
        <v>6127360.8829452088</v>
      </c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15">
      <c r="A38" s="87" t="s">
        <v>106</v>
      </c>
      <c r="B38" s="541"/>
      <c r="C38" s="541"/>
      <c r="D38" s="554"/>
      <c r="E38" s="655"/>
      <c r="F38" s="655"/>
      <c r="G38" s="657"/>
      <c r="H38" s="657"/>
      <c r="I38" s="657"/>
      <c r="J38" s="911"/>
      <c r="K38" s="911"/>
      <c r="L38" s="911"/>
      <c r="M38" s="911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 x14ac:dyDescent="0.15">
      <c r="A39" s="77" t="s">
        <v>323</v>
      </c>
      <c r="B39" s="267" t="s">
        <v>383</v>
      </c>
      <c r="C39" s="267"/>
      <c r="D39" s="592"/>
      <c r="E39" s="589">
        <f>-'Project Data'!$Y$133*'Project Data'!$B$101*E13</f>
        <v>-135015.99999999997</v>
      </c>
      <c r="F39" s="589">
        <f>-'Project Data'!$Y$133*'Project Data'!$B$101*F13</f>
        <v>-270031.99999999994</v>
      </c>
      <c r="G39" s="657">
        <f>-'Project Data'!$Y$133*'Project Data'!$B$101*G13</f>
        <v>-405048</v>
      </c>
      <c r="H39" s="657">
        <f>-'Project Data'!$Y$133*'Project Data'!$B$101*H13</f>
        <v>-540063.99999999988</v>
      </c>
      <c r="I39" s="657">
        <f>-'Project Data'!$Y$133*'Project Data'!$B$101*I13</f>
        <v>-675079.99999999988</v>
      </c>
      <c r="J39" s="908"/>
      <c r="K39" s="911"/>
      <c r="L39" s="911"/>
      <c r="M39" s="911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 x14ac:dyDescent="0.15">
      <c r="A40" s="77"/>
      <c r="B40" s="267" t="s">
        <v>389</v>
      </c>
      <c r="C40" s="267"/>
      <c r="D40" s="592"/>
      <c r="E40" s="589"/>
      <c r="F40" s="589"/>
      <c r="G40" s="657"/>
      <c r="H40" s="657">
        <f>-'Project Data'!$Y$134*'Project Data'!$B$101*50%</f>
        <v>-2181444.9999999995</v>
      </c>
      <c r="I40" s="657">
        <f>-'Project Data'!$Y$134*'Project Data'!$B$101*50%</f>
        <v>-2181444.9999999995</v>
      </c>
      <c r="J40" s="911"/>
      <c r="K40" s="911"/>
      <c r="L40" s="911"/>
      <c r="M40" s="911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15">
      <c r="A41" s="77"/>
      <c r="B41" s="267" t="s">
        <v>67</v>
      </c>
      <c r="C41" s="267"/>
      <c r="D41" s="592">
        <f>-'Project Data'!$B$101*'Project Data'!$Y$135</f>
        <v>-4521580</v>
      </c>
      <c r="E41" s="589"/>
      <c r="F41" s="589"/>
      <c r="G41" s="657"/>
      <c r="H41" s="657"/>
      <c r="I41" s="657"/>
      <c r="J41" s="911"/>
      <c r="K41" s="911"/>
      <c r="L41" s="911"/>
      <c r="M41" s="911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 x14ac:dyDescent="0.15">
      <c r="A42" s="77" t="s">
        <v>390</v>
      </c>
      <c r="B42" s="44"/>
      <c r="C42" s="267"/>
      <c r="D42" s="592">
        <f>'Project Data'!Y135</f>
        <v>45215.799999999996</v>
      </c>
      <c r="E42" s="589">
        <f>'Project Data'!Y133</f>
        <v>6750.7999999999993</v>
      </c>
      <c r="F42" s="589"/>
      <c r="G42" s="657"/>
      <c r="H42" s="657"/>
      <c r="I42" s="657"/>
      <c r="J42" s="913">
        <f>'4. Condominiums'!J22*'Project Data'!Y134</f>
        <v>15270.114999999996</v>
      </c>
      <c r="K42" s="913">
        <f>'4. Condominiums'!K22*'Project Data'!Y134</f>
        <v>8725.7799999999988</v>
      </c>
      <c r="L42" s="913">
        <f>'4. Condominiums'!L22*'Project Data'!Y134</f>
        <v>19633.004999999997</v>
      </c>
      <c r="M42" s="913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 x14ac:dyDescent="0.15">
      <c r="A43" s="77" t="s">
        <v>391</v>
      </c>
      <c r="B43" s="44"/>
      <c r="C43" s="267"/>
      <c r="D43" s="592">
        <f>D42</f>
        <v>45215.799999999996</v>
      </c>
      <c r="E43" s="589">
        <f>SUM(D42:E42)</f>
        <v>51966.599999999991</v>
      </c>
      <c r="F43" s="589">
        <f>SUM(D42:F42)</f>
        <v>51966.599999999991</v>
      </c>
      <c r="G43" s="657">
        <f>SUM(D42:G42)</f>
        <v>51966.599999999991</v>
      </c>
      <c r="H43" s="657">
        <f>SUM(D42:H42)</f>
        <v>51966.599999999991</v>
      </c>
      <c r="I43" s="657">
        <f>SUM(D42:I42)</f>
        <v>51966.599999999991</v>
      </c>
      <c r="J43" s="913">
        <f>SUM(D42:J42)</f>
        <v>67236.714999999982</v>
      </c>
      <c r="K43" s="913">
        <f>SUM(D42:K42)</f>
        <v>75962.494999999981</v>
      </c>
      <c r="L43" s="913">
        <f>SUM(D42:L42)</f>
        <v>95595.499999999971</v>
      </c>
      <c r="M43" s="913">
        <f>SUM(D42:M42)</f>
        <v>95595.499999999971</v>
      </c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 x14ac:dyDescent="0.15">
      <c r="A44" s="77" t="s">
        <v>392</v>
      </c>
      <c r="B44" s="44"/>
      <c r="C44" s="267"/>
      <c r="D44" s="592">
        <f>'Project Data'!B115</f>
        <v>226.07899999999998</v>
      </c>
      <c r="E44" s="589">
        <f>'Project Data'!B107</f>
        <v>33.753999999999998</v>
      </c>
      <c r="F44" s="589"/>
      <c r="G44" s="657"/>
      <c r="H44" s="657"/>
      <c r="I44" s="657"/>
      <c r="J44" s="914">
        <f>'4. Condominiums'!J22*'Project Data'!B110</f>
        <v>42.764399999999995</v>
      </c>
      <c r="K44" s="914">
        <f>'4. Condominiums'!K22*'Project Data'!B110</f>
        <v>24.436800000000002</v>
      </c>
      <c r="L44" s="914">
        <f>'4. Condominiums'!L22*'Project Data'!B110</f>
        <v>54.982799999999997</v>
      </c>
      <c r="M44" s="914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 x14ac:dyDescent="0.15">
      <c r="A45" s="77" t="s">
        <v>393</v>
      </c>
      <c r="B45" s="44"/>
      <c r="C45" s="267"/>
      <c r="D45" s="592">
        <f>D44</f>
        <v>226.07899999999998</v>
      </c>
      <c r="E45" s="589">
        <f>SUM(D44:E44)</f>
        <v>259.83299999999997</v>
      </c>
      <c r="F45" s="589">
        <f>SUM(D44:F44)</f>
        <v>259.83299999999997</v>
      </c>
      <c r="G45" s="657">
        <f>SUM(D44:G44)</f>
        <v>259.83299999999997</v>
      </c>
      <c r="H45" s="657">
        <f>SUM(D44:H44)</f>
        <v>259.83299999999997</v>
      </c>
      <c r="I45" s="657">
        <f>SUM(D44:I44)</f>
        <v>259.83299999999997</v>
      </c>
      <c r="J45" s="914">
        <f>SUM(D44:J44)</f>
        <v>302.59739999999999</v>
      </c>
      <c r="K45" s="914">
        <f>SUM(D44:K44)</f>
        <v>327.0342</v>
      </c>
      <c r="L45" s="914">
        <f>SUM(D44:L44)</f>
        <v>382.017</v>
      </c>
      <c r="M45" s="914">
        <f>SUM(D44:M44)</f>
        <v>382.017</v>
      </c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 x14ac:dyDescent="0.15">
      <c r="A46" s="77" t="s">
        <v>394</v>
      </c>
      <c r="B46" s="44">
        <f>'Project Data'!B12</f>
        <v>0.2</v>
      </c>
      <c r="C46" s="267"/>
      <c r="D46" s="592">
        <f t="shared" ref="D46:I46" si="18">SUM(D39:D41)*20%</f>
        <v>-904316</v>
      </c>
      <c r="E46" s="589">
        <f t="shared" si="18"/>
        <v>-27003.199999999997</v>
      </c>
      <c r="F46" s="589">
        <f t="shared" si="18"/>
        <v>-54006.399999999994</v>
      </c>
      <c r="G46" s="657">
        <f t="shared" si="18"/>
        <v>-81009.600000000006</v>
      </c>
      <c r="H46" s="657">
        <f t="shared" si="18"/>
        <v>-544301.79999999993</v>
      </c>
      <c r="I46" s="657">
        <f t="shared" si="18"/>
        <v>-571304.99999999988</v>
      </c>
      <c r="J46" s="911"/>
      <c r="K46" s="911"/>
      <c r="L46" s="911"/>
      <c r="M46" s="911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 x14ac:dyDescent="0.15">
      <c r="A47" s="86" t="s">
        <v>170</v>
      </c>
      <c r="B47" s="25"/>
      <c r="C47" s="918"/>
      <c r="D47" s="919">
        <f t="shared" ref="D47:I47" si="19">D39+D40+D41+D46</f>
        <v>-5425896</v>
      </c>
      <c r="E47" s="920">
        <f t="shared" si="19"/>
        <v>-162019.19999999995</v>
      </c>
      <c r="F47" s="920">
        <f t="shared" si="19"/>
        <v>-324038.39999999991</v>
      </c>
      <c r="G47" s="921">
        <f t="shared" si="19"/>
        <v>-486057.6</v>
      </c>
      <c r="H47" s="921">
        <f t="shared" si="19"/>
        <v>-3265810.7999999993</v>
      </c>
      <c r="I47" s="921">
        <f t="shared" si="19"/>
        <v>-3427829.9999999995</v>
      </c>
      <c r="J47" s="922"/>
      <c r="K47" s="910"/>
      <c r="L47" s="910"/>
      <c r="M47" s="910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15">
      <c r="A48" s="87" t="s">
        <v>174</v>
      </c>
      <c r="B48" s="541"/>
      <c r="C48" s="280"/>
      <c r="D48" s="554"/>
      <c r="E48" s="655"/>
      <c r="F48" s="655"/>
      <c r="G48" s="657"/>
      <c r="H48" s="657"/>
      <c r="I48" s="657"/>
      <c r="J48" s="911"/>
      <c r="K48" s="911"/>
      <c r="L48" s="911"/>
      <c r="M48" s="911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 x14ac:dyDescent="0.15">
      <c r="A49" s="77" t="s">
        <v>177</v>
      </c>
      <c r="B49" s="267"/>
      <c r="C49" s="267"/>
      <c r="D49" s="592">
        <f t="shared" ref="D49:M49" si="20">D37</f>
        <v>0</v>
      </c>
      <c r="E49" s="589">
        <f t="shared" si="20"/>
        <v>1024883.9306999998</v>
      </c>
      <c r="F49" s="589">
        <f t="shared" si="20"/>
        <v>2228838.7991517894</v>
      </c>
      <c r="G49" s="657">
        <f t="shared" si="20"/>
        <v>2457185.9876160813</v>
      </c>
      <c r="H49" s="657">
        <f t="shared" si="20"/>
        <v>2700460.4385707979</v>
      </c>
      <c r="I49" s="657">
        <f t="shared" si="20"/>
        <v>2959485.9001233424</v>
      </c>
      <c r="J49" s="908">
        <f t="shared" si="20"/>
        <v>4832105.239873548</v>
      </c>
      <c r="K49" s="908">
        <f t="shared" si="20"/>
        <v>5240804.9319247091</v>
      </c>
      <c r="L49" s="908">
        <f t="shared" si="20"/>
        <v>5672194.2735006064</v>
      </c>
      <c r="M49" s="908">
        <f t="shared" si="20"/>
        <v>6127360.8829452088</v>
      </c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 x14ac:dyDescent="0.15">
      <c r="A50" s="77" t="s">
        <v>327</v>
      </c>
      <c r="B50" s="275">
        <v>0.1</v>
      </c>
      <c r="C50" s="267"/>
      <c r="D50" s="592"/>
      <c r="E50" s="589"/>
      <c r="F50" s="589"/>
      <c r="G50" s="657"/>
      <c r="H50" s="657"/>
      <c r="I50" s="657"/>
      <c r="J50" s="911"/>
      <c r="K50" s="911"/>
      <c r="L50" s="911"/>
      <c r="M50" s="911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 x14ac:dyDescent="0.15">
      <c r="A51" s="77" t="s">
        <v>324</v>
      </c>
      <c r="B51" s="275">
        <v>7.0000000000000007E-2</v>
      </c>
      <c r="C51" s="267"/>
      <c r="D51" s="592"/>
      <c r="E51" s="589"/>
      <c r="F51" s="589"/>
      <c r="G51" s="657"/>
      <c r="H51" s="657"/>
      <c r="I51" s="657"/>
      <c r="J51" s="911"/>
      <c r="K51" s="911"/>
      <c r="L51" s="911"/>
      <c r="M51" s="915">
        <f>M49/B51</f>
        <v>87533726.899217263</v>
      </c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 x14ac:dyDescent="0.15">
      <c r="A52" s="77" t="s">
        <v>325</v>
      </c>
      <c r="B52" s="44">
        <v>0.03</v>
      </c>
      <c r="C52" s="267"/>
      <c r="D52" s="592"/>
      <c r="E52" s="589"/>
      <c r="F52" s="589"/>
      <c r="G52" s="657"/>
      <c r="H52" s="657"/>
      <c r="I52" s="657"/>
      <c r="J52" s="911"/>
      <c r="K52" s="911"/>
      <c r="L52" s="911"/>
      <c r="M52" s="915">
        <f>M51*B52</f>
        <v>2626011.8069765177</v>
      </c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 x14ac:dyDescent="0.15">
      <c r="A53" s="77" t="s">
        <v>170</v>
      </c>
      <c r="B53" s="267"/>
      <c r="C53" s="267"/>
      <c r="D53" s="592">
        <f t="shared" ref="D53:M53" si="21">D47</f>
        <v>-5425896</v>
      </c>
      <c r="E53" s="589">
        <f t="shared" si="21"/>
        <v>-162019.19999999995</v>
      </c>
      <c r="F53" s="589">
        <f t="shared" si="21"/>
        <v>-324038.39999999991</v>
      </c>
      <c r="G53" s="657">
        <f t="shared" si="21"/>
        <v>-486057.6</v>
      </c>
      <c r="H53" s="657">
        <f t="shared" si="21"/>
        <v>-3265810.7999999993</v>
      </c>
      <c r="I53" s="657">
        <f t="shared" si="21"/>
        <v>-3427829.9999999995</v>
      </c>
      <c r="J53" s="915">
        <f t="shared" si="21"/>
        <v>0</v>
      </c>
      <c r="K53" s="915">
        <f t="shared" si="21"/>
        <v>0</v>
      </c>
      <c r="L53" s="915">
        <f t="shared" si="21"/>
        <v>0</v>
      </c>
      <c r="M53" s="915">
        <f t="shared" si="21"/>
        <v>0</v>
      </c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 x14ac:dyDescent="0.15">
      <c r="A54" s="77" t="s">
        <v>326</v>
      </c>
      <c r="B54" s="267"/>
      <c r="C54" s="267"/>
      <c r="D54" s="592">
        <f t="shared" ref="D54:M54" si="22">SUM(D49:D53)</f>
        <v>-5425896</v>
      </c>
      <c r="E54" s="589">
        <f t="shared" si="22"/>
        <v>862864.73069999984</v>
      </c>
      <c r="F54" s="589">
        <f t="shared" si="22"/>
        <v>1904800.3991517895</v>
      </c>
      <c r="G54" s="657">
        <f t="shared" si="22"/>
        <v>1971128.3876160812</v>
      </c>
      <c r="H54" s="657">
        <f t="shared" si="22"/>
        <v>-565350.36142920144</v>
      </c>
      <c r="I54" s="657">
        <f t="shared" si="22"/>
        <v>-468344.09987665713</v>
      </c>
      <c r="J54" s="915">
        <f t="shared" si="22"/>
        <v>4832105.239873548</v>
      </c>
      <c r="K54" s="915">
        <f t="shared" si="22"/>
        <v>5240804.9319247091</v>
      </c>
      <c r="L54" s="915">
        <f t="shared" si="22"/>
        <v>5672194.2735006064</v>
      </c>
      <c r="M54" s="915">
        <f t="shared" si="22"/>
        <v>96287099.589138985</v>
      </c>
      <c r="N54" s="7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 x14ac:dyDescent="0.15">
      <c r="A55" s="86" t="s">
        <v>218</v>
      </c>
      <c r="B55" s="245"/>
      <c r="C55" s="245"/>
      <c r="D55" s="932">
        <f t="array" ref="D55">NPV(B50,D54:M54)</f>
        <v>42395401.833499439</v>
      </c>
      <c r="E55" s="611"/>
      <c r="F55" s="611"/>
      <c r="G55" s="612"/>
      <c r="H55" s="570"/>
      <c r="I55" s="570"/>
      <c r="J55" s="916"/>
      <c r="K55" s="916"/>
      <c r="L55" s="916"/>
      <c r="M55" s="916"/>
      <c r="N55" s="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15">
      <c r="A56" s="211" t="s">
        <v>224</v>
      </c>
      <c r="B56" s="25"/>
      <c r="C56" s="25"/>
      <c r="D56" s="933">
        <f>IRR(D54:M54,B50)</f>
        <v>0.49377268956808762</v>
      </c>
      <c r="E56" s="611"/>
      <c r="F56" s="611"/>
      <c r="G56" s="612"/>
      <c r="H56" s="570"/>
      <c r="I56" s="570"/>
      <c r="J56" s="916"/>
      <c r="K56" s="916"/>
      <c r="L56" s="916"/>
      <c r="M56" s="916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15">
      <c r="A57" s="211" t="s">
        <v>229</v>
      </c>
      <c r="B57" s="25"/>
      <c r="C57" s="25"/>
      <c r="D57" s="664"/>
      <c r="E57" s="584"/>
      <c r="F57" s="584"/>
      <c r="G57" s="665"/>
      <c r="H57" s="665"/>
      <c r="I57" s="665"/>
      <c r="J57" s="917"/>
      <c r="K57" s="917"/>
      <c r="L57" s="917"/>
      <c r="M57" s="917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15">
      <c r="A58" s="7"/>
      <c r="B58" s="16"/>
      <c r="C58" s="1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honeticPr fontId="24" type="noConversion"/>
  <conditionalFormatting sqref="C5:M57">
    <cfRule type="cellIs" dxfId="0" priority="1" operator="lessThan">
      <formula>0</formula>
    </cfRule>
  </conditionalFormatting>
  <pageMargins left="0.7" right="0.7" top="0.75" bottom="0.75" header="0.3" footer="0.3"/>
  <pageSetup paperSize="3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50" workbookViewId="0">
      <selection activeCell="A152" sqref="A152:J173"/>
    </sheetView>
  </sheetViews>
  <sheetFormatPr baseColWidth="10" defaultColWidth="17.33203125" defaultRowHeight="15" customHeight="1" x14ac:dyDescent="0.15"/>
  <cols>
    <col min="1" max="1" width="30.83203125" customWidth="1"/>
    <col min="2" max="2" width="25.33203125" customWidth="1"/>
    <col min="3" max="3" width="28.33203125" customWidth="1"/>
    <col min="4" max="4" width="19.5" customWidth="1"/>
    <col min="5" max="5" width="29.1640625" customWidth="1"/>
    <col min="6" max="6" width="17.83203125" customWidth="1"/>
    <col min="7" max="7" width="18" customWidth="1"/>
    <col min="8" max="8" width="17.5" customWidth="1"/>
    <col min="9" max="9" width="20.83203125" customWidth="1"/>
    <col min="10" max="10" width="13.33203125" customWidth="1"/>
    <col min="11" max="11" width="11.6640625" customWidth="1"/>
    <col min="12" max="12" width="11.5" customWidth="1"/>
    <col min="13" max="13" width="10" customWidth="1"/>
    <col min="14" max="14" width="14.6640625" customWidth="1"/>
    <col min="15" max="15" width="14.33203125" customWidth="1"/>
    <col min="16" max="16" width="10.6640625" customWidth="1"/>
    <col min="17" max="22" width="10" customWidth="1"/>
    <col min="23" max="23" width="15.5" customWidth="1"/>
    <col min="24" max="26" width="10" customWidth="1"/>
  </cols>
  <sheetData>
    <row r="1" spans="1:26" ht="12.75" customHeight="1" x14ac:dyDescent="0.15">
      <c r="A1" s="3"/>
      <c r="B1" s="6" t="s">
        <v>2</v>
      </c>
      <c r="C1" s="7"/>
      <c r="D1" s="7"/>
      <c r="E1" s="670" t="s">
        <v>3</v>
      </c>
      <c r="F1" s="272">
        <v>176272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2.75" customHeight="1" x14ac:dyDescent="0.15">
      <c r="A2" s="8" t="s">
        <v>6</v>
      </c>
      <c r="B2" s="9"/>
      <c r="C2" s="7"/>
      <c r="D2" s="7"/>
      <c r="E2" s="7"/>
      <c r="F2" s="7"/>
      <c r="G2" s="7"/>
      <c r="R2" s="7"/>
      <c r="S2" s="7"/>
      <c r="T2" s="7"/>
      <c r="U2" s="7"/>
      <c r="V2" s="7"/>
      <c r="W2" s="7"/>
      <c r="X2" s="7"/>
      <c r="Y2" s="7"/>
      <c r="Z2" s="7"/>
    </row>
    <row r="3" spans="1:26" ht="12.75" customHeight="1" x14ac:dyDescent="0.15">
      <c r="A3" s="10" t="s">
        <v>8</v>
      </c>
      <c r="B3" s="12">
        <v>3.5000000000000003E-2</v>
      </c>
      <c r="C3" s="7"/>
      <c r="D3" s="7"/>
      <c r="E3" s="7"/>
      <c r="F3" s="7"/>
      <c r="G3" s="7"/>
      <c r="R3" s="7"/>
      <c r="S3" s="7"/>
      <c r="T3" s="7"/>
      <c r="U3" s="7"/>
      <c r="V3" s="7"/>
      <c r="W3" s="7"/>
      <c r="X3" s="7"/>
      <c r="Y3" s="7"/>
      <c r="Z3" s="7"/>
    </row>
    <row r="4" spans="1:26" ht="12.75" customHeight="1" x14ac:dyDescent="0.15">
      <c r="A4" s="10" t="s">
        <v>11</v>
      </c>
      <c r="B4" s="13"/>
      <c r="C4" s="7"/>
      <c r="D4" s="7"/>
      <c r="E4" s="7"/>
      <c r="F4" s="7"/>
      <c r="G4" s="7"/>
      <c r="R4" s="7"/>
      <c r="S4" s="7"/>
      <c r="T4" s="7"/>
      <c r="U4" s="7"/>
      <c r="V4" s="7"/>
      <c r="W4" s="7"/>
      <c r="X4" s="7"/>
      <c r="Y4" s="7"/>
      <c r="Z4" s="7"/>
    </row>
    <row r="5" spans="1:26" ht="12.75" customHeight="1" x14ac:dyDescent="0.15">
      <c r="A5" s="10" t="s">
        <v>12</v>
      </c>
      <c r="B5" s="13"/>
      <c r="C5" s="7"/>
      <c r="D5" s="7"/>
      <c r="E5" s="7"/>
      <c r="F5" s="7"/>
      <c r="G5" s="7"/>
      <c r="R5" s="7"/>
      <c r="S5" s="7"/>
      <c r="T5" s="7"/>
      <c r="U5" s="7"/>
      <c r="V5" s="7"/>
      <c r="W5" s="7"/>
      <c r="X5" s="7"/>
      <c r="Y5" s="7"/>
      <c r="Z5" s="7"/>
    </row>
    <row r="6" spans="1:26" ht="12.75" customHeight="1" x14ac:dyDescent="0.15">
      <c r="A6" s="10" t="s">
        <v>13</v>
      </c>
      <c r="B6" s="12">
        <v>0.03</v>
      </c>
      <c r="C6" s="7"/>
      <c r="D6" s="7"/>
      <c r="E6" s="7"/>
      <c r="F6" s="7"/>
      <c r="G6" s="7"/>
      <c r="R6" s="7"/>
      <c r="S6" s="7"/>
      <c r="T6" s="7"/>
      <c r="U6" s="7"/>
      <c r="V6" s="7"/>
      <c r="W6" s="7"/>
      <c r="X6" s="7"/>
      <c r="Y6" s="7"/>
      <c r="Z6" s="7"/>
    </row>
    <row r="7" spans="1:26" ht="12.75" customHeight="1" x14ac:dyDescent="0.15">
      <c r="A7" s="8" t="s">
        <v>14</v>
      </c>
      <c r="B7" s="14"/>
      <c r="C7" s="7"/>
      <c r="D7" s="7"/>
      <c r="E7" s="7"/>
      <c r="F7" s="7"/>
      <c r="G7" s="7"/>
      <c r="R7" s="7"/>
      <c r="S7" s="7"/>
      <c r="T7" s="7"/>
      <c r="U7" s="7"/>
      <c r="V7" s="7"/>
      <c r="W7" s="7"/>
      <c r="X7" s="7"/>
      <c r="Y7" s="7"/>
      <c r="Z7" s="7"/>
    </row>
    <row r="8" spans="1:26" ht="12.75" customHeight="1" x14ac:dyDescent="0.15">
      <c r="A8" s="10" t="s">
        <v>15</v>
      </c>
      <c r="B8" s="13">
        <v>8</v>
      </c>
      <c r="C8" s="7"/>
      <c r="D8" s="7"/>
      <c r="E8" s="7"/>
      <c r="F8" s="7"/>
      <c r="G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 x14ac:dyDescent="0.15">
      <c r="A9" s="10" t="s">
        <v>17</v>
      </c>
      <c r="B9" s="32">
        <v>287379</v>
      </c>
      <c r="C9" s="7"/>
      <c r="D9" s="7"/>
      <c r="E9" s="7"/>
      <c r="F9" s="7"/>
      <c r="G9" s="7"/>
      <c r="R9" s="7"/>
      <c r="S9" s="7"/>
      <c r="T9" s="7"/>
      <c r="U9" s="7"/>
      <c r="V9" s="7"/>
      <c r="W9" s="7"/>
      <c r="X9" s="7"/>
      <c r="Y9" s="7"/>
      <c r="Z9" s="7"/>
    </row>
    <row r="10" spans="1:26" ht="12.75" customHeight="1" x14ac:dyDescent="0.15">
      <c r="A10" s="10" t="s">
        <v>26</v>
      </c>
      <c r="B10" s="32">
        <v>21463</v>
      </c>
      <c r="C10" s="7"/>
      <c r="D10" s="7"/>
      <c r="E10" s="7"/>
      <c r="F10" s="7"/>
      <c r="G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2.75" customHeight="1" x14ac:dyDescent="0.15">
      <c r="A11" s="10" t="s">
        <v>27</v>
      </c>
      <c r="B11" s="13">
        <v>5</v>
      </c>
      <c r="C11" s="7"/>
      <c r="D11" s="7"/>
      <c r="E11" s="7"/>
      <c r="F11" s="7"/>
      <c r="G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2.75" customHeight="1" x14ac:dyDescent="0.15">
      <c r="A12" s="34" t="s">
        <v>28</v>
      </c>
      <c r="B12" s="36">
        <v>0.2</v>
      </c>
      <c r="C12" s="7"/>
      <c r="D12" s="7"/>
      <c r="E12" s="7"/>
      <c r="F12" s="7"/>
      <c r="G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2.75" customHeight="1" x14ac:dyDescent="0.15">
      <c r="A13" s="7" t="s">
        <v>31</v>
      </c>
      <c r="B13" s="7"/>
      <c r="C13" s="7"/>
      <c r="D13" s="7"/>
      <c r="E13" s="7"/>
      <c r="F13" s="7"/>
      <c r="G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2.75" customHeight="1" x14ac:dyDescent="0.15">
      <c r="A14" s="38"/>
      <c r="B14" s="683" t="s">
        <v>32</v>
      </c>
      <c r="C14" s="677"/>
      <c r="D14" s="677"/>
      <c r="E14" s="677"/>
      <c r="F14" s="682"/>
      <c r="G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2.75" customHeight="1" x14ac:dyDescent="0.15">
      <c r="A15" s="10" t="s">
        <v>31</v>
      </c>
      <c r="B15" s="52" t="s">
        <v>33</v>
      </c>
      <c r="C15" s="53" t="s">
        <v>40</v>
      </c>
      <c r="D15" s="54" t="s">
        <v>41</v>
      </c>
      <c r="E15" s="55" t="s">
        <v>42</v>
      </c>
      <c r="F15" s="56" t="s">
        <v>43</v>
      </c>
      <c r="G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2.75" customHeight="1" x14ac:dyDescent="0.15">
      <c r="A16" s="8" t="s">
        <v>44</v>
      </c>
      <c r="B16" s="54"/>
      <c r="C16" s="54"/>
      <c r="D16" s="54"/>
      <c r="E16" s="54"/>
      <c r="F16" s="59"/>
      <c r="G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2.75" customHeight="1" x14ac:dyDescent="0.15">
      <c r="A17" s="10" t="s">
        <v>48</v>
      </c>
      <c r="B17" s="64"/>
      <c r="C17" s="64"/>
      <c r="D17" s="64"/>
      <c r="E17" s="64"/>
      <c r="F17" s="66">
        <v>310</v>
      </c>
      <c r="G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2.75" customHeight="1" x14ac:dyDescent="0.15">
      <c r="A18" s="10" t="s">
        <v>52</v>
      </c>
      <c r="B18" s="68">
        <v>2.8</v>
      </c>
      <c r="C18" s="68">
        <v>2.6</v>
      </c>
      <c r="D18" s="68">
        <v>1.8</v>
      </c>
      <c r="E18" s="68">
        <v>2.5</v>
      </c>
      <c r="F18" s="66"/>
      <c r="G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2.75" customHeight="1" x14ac:dyDescent="0.15">
      <c r="A19" s="10" t="s">
        <v>53</v>
      </c>
      <c r="B19" s="70">
        <v>950</v>
      </c>
      <c r="C19" s="70">
        <v>850</v>
      </c>
      <c r="D19" s="70">
        <v>800</v>
      </c>
      <c r="E19" s="70">
        <v>750</v>
      </c>
      <c r="F19" s="72">
        <v>850</v>
      </c>
      <c r="G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2.75" customHeight="1" x14ac:dyDescent="0.15">
      <c r="A20" s="10" t="s">
        <v>54</v>
      </c>
      <c r="B20" s="68">
        <v>0.5</v>
      </c>
      <c r="C20" s="68">
        <v>0.5</v>
      </c>
      <c r="D20" s="68">
        <v>0.3</v>
      </c>
      <c r="E20" s="68">
        <v>0.4</v>
      </c>
      <c r="F20" s="66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2.75" customHeight="1" x14ac:dyDescent="0.15">
      <c r="A21" s="8" t="s">
        <v>14</v>
      </c>
      <c r="B21" s="73"/>
      <c r="C21" s="73"/>
      <c r="D21" s="73"/>
      <c r="E21" s="73"/>
      <c r="F21" s="74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2.75" customHeight="1" x14ac:dyDescent="0.15">
      <c r="A22" s="10" t="s">
        <v>55</v>
      </c>
      <c r="B22" s="75">
        <v>120</v>
      </c>
      <c r="C22" s="75">
        <v>110</v>
      </c>
      <c r="D22" s="75">
        <v>105</v>
      </c>
      <c r="E22" s="75">
        <v>105</v>
      </c>
      <c r="F22" s="76">
        <v>130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 x14ac:dyDescent="0.15">
      <c r="A23" s="10" t="s">
        <v>56</v>
      </c>
      <c r="B23" s="78">
        <v>0.2</v>
      </c>
      <c r="C23" s="78">
        <v>0.2</v>
      </c>
      <c r="D23" s="78">
        <v>0.2</v>
      </c>
      <c r="E23" s="78">
        <v>0.2</v>
      </c>
      <c r="F23" s="79">
        <v>0.2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2.75" customHeight="1" x14ac:dyDescent="0.15">
      <c r="A24" s="10" t="s">
        <v>57</v>
      </c>
      <c r="B24" s="80">
        <f>$G$136+$G$138</f>
        <v>108534</v>
      </c>
      <c r="C24" s="80">
        <f>G135+(G133*80%)</f>
        <v>95411.199999999997</v>
      </c>
      <c r="D24" s="80">
        <f>SUM(G133:G134)*20%</f>
        <v>20080.400000000001</v>
      </c>
      <c r="E24" s="80">
        <f>G134*80%</f>
        <v>47854.400000000001</v>
      </c>
      <c r="F24" s="83">
        <f>G137</f>
        <v>122184</v>
      </c>
      <c r="G24" s="7"/>
      <c r="H24" s="7"/>
      <c r="I24" s="7"/>
      <c r="J24" s="7"/>
      <c r="K24" s="11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2.75" customHeight="1" x14ac:dyDescent="0.15">
      <c r="A25" s="10" t="s">
        <v>58</v>
      </c>
      <c r="B25" s="84">
        <v>0.85</v>
      </c>
      <c r="C25" s="84">
        <v>0.85</v>
      </c>
      <c r="D25" s="84">
        <v>0.85</v>
      </c>
      <c r="E25" s="84">
        <v>0.85</v>
      </c>
      <c r="F25" s="85">
        <v>0.85</v>
      </c>
      <c r="G25" s="7"/>
      <c r="H25" s="7"/>
      <c r="I25" s="7"/>
      <c r="J25" s="7"/>
      <c r="K25" s="11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2.75" customHeight="1" x14ac:dyDescent="0.15">
      <c r="A26" s="10" t="s">
        <v>59</v>
      </c>
      <c r="B26" s="80">
        <f t="shared" ref="B26:F26" si="0">(B24/B19)*B25</f>
        <v>97.109368421052622</v>
      </c>
      <c r="C26" s="80">
        <f t="shared" si="0"/>
        <v>95.411199999999994</v>
      </c>
      <c r="D26" s="80">
        <f t="shared" si="0"/>
        <v>21.335425000000001</v>
      </c>
      <c r="E26" s="80">
        <f t="shared" si="0"/>
        <v>54.234986666666664</v>
      </c>
      <c r="F26" s="83">
        <f t="shared" si="0"/>
        <v>122.184</v>
      </c>
      <c r="G26" s="7"/>
      <c r="H26" s="7"/>
      <c r="I26" s="7"/>
      <c r="J26" s="7"/>
      <c r="K26" s="11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2.75" customHeight="1" x14ac:dyDescent="0.15">
      <c r="A27" s="8" t="s">
        <v>6</v>
      </c>
      <c r="B27" s="73"/>
      <c r="C27" s="73"/>
      <c r="D27" s="73"/>
      <c r="E27" s="73"/>
      <c r="F27" s="74"/>
      <c r="G27" s="7"/>
      <c r="H27" s="7"/>
      <c r="I27" s="7"/>
      <c r="J27" s="7"/>
      <c r="K27" s="11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2.75" customHeight="1" x14ac:dyDescent="0.15">
      <c r="A28" s="34" t="s">
        <v>61</v>
      </c>
      <c r="B28" s="88">
        <v>5.5E-2</v>
      </c>
      <c r="C28" s="88">
        <v>5.5E-2</v>
      </c>
      <c r="D28" s="90">
        <v>0.06</v>
      </c>
      <c r="E28" s="90">
        <v>0.06</v>
      </c>
      <c r="F28" s="91">
        <v>5.5E-2</v>
      </c>
      <c r="G28" s="7"/>
      <c r="H28" s="7"/>
      <c r="I28" s="7"/>
      <c r="J28" s="7"/>
      <c r="K28" s="11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2.75" customHeight="1" x14ac:dyDescent="0.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2.75" customHeight="1" x14ac:dyDescent="0.15">
      <c r="A30" s="7"/>
      <c r="B30" s="7"/>
      <c r="C30" s="2"/>
      <c r="D30" s="2"/>
      <c r="E30" s="2"/>
      <c r="F30" s="2"/>
      <c r="G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2.75" customHeight="1" x14ac:dyDescent="0.15">
      <c r="A31" s="38"/>
      <c r="B31" s="683" t="s">
        <v>66</v>
      </c>
      <c r="C31" s="677"/>
      <c r="D31" s="677"/>
      <c r="E31" s="677"/>
      <c r="F31" s="682"/>
      <c r="G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2.75" customHeight="1" x14ac:dyDescent="0.15">
      <c r="A32" s="8"/>
      <c r="B32" s="97" t="s">
        <v>71</v>
      </c>
      <c r="C32" s="97" t="s">
        <v>73</v>
      </c>
      <c r="D32" s="97" t="s">
        <v>74</v>
      </c>
      <c r="E32" s="97" t="s">
        <v>75</v>
      </c>
      <c r="F32" s="98" t="s">
        <v>76</v>
      </c>
      <c r="G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2.75" customHeight="1" x14ac:dyDescent="0.15">
      <c r="A33" s="10" t="s">
        <v>80</v>
      </c>
      <c r="B33" s="99"/>
      <c r="C33" s="99">
        <v>35</v>
      </c>
      <c r="D33" s="73">
        <v>500</v>
      </c>
      <c r="E33" s="70">
        <f t="shared" ref="E33:E36" si="1">D33*C33</f>
        <v>17500</v>
      </c>
      <c r="F33" s="66">
        <f t="shared" ref="F33:F37" si="2">$B$57*E33</f>
        <v>875000</v>
      </c>
      <c r="G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2.75" customHeight="1" x14ac:dyDescent="0.15">
      <c r="A34" s="10" t="s">
        <v>82</v>
      </c>
      <c r="B34" s="99"/>
      <c r="C34" s="99">
        <v>35</v>
      </c>
      <c r="D34" s="73">
        <v>460</v>
      </c>
      <c r="E34" s="70">
        <f t="shared" si="1"/>
        <v>16100</v>
      </c>
      <c r="F34" s="66">
        <f t="shared" si="2"/>
        <v>805000</v>
      </c>
      <c r="G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2.75" customHeight="1" x14ac:dyDescent="0.15">
      <c r="A35" s="10" t="s">
        <v>84</v>
      </c>
      <c r="B35" s="99"/>
      <c r="C35" s="99">
        <v>35</v>
      </c>
      <c r="D35" s="73">
        <v>410</v>
      </c>
      <c r="E35" s="70">
        <f t="shared" si="1"/>
        <v>14350</v>
      </c>
      <c r="F35" s="66">
        <f t="shared" si="2"/>
        <v>717500</v>
      </c>
      <c r="G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2.75" customHeight="1" x14ac:dyDescent="0.15">
      <c r="A36" s="10" t="s">
        <v>86</v>
      </c>
      <c r="B36" s="99"/>
      <c r="C36" s="99">
        <v>35</v>
      </c>
      <c r="D36" s="73">
        <v>1170</v>
      </c>
      <c r="E36" s="70">
        <f t="shared" si="1"/>
        <v>40950</v>
      </c>
      <c r="F36" s="66">
        <f t="shared" si="2"/>
        <v>2047500</v>
      </c>
      <c r="G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2.75" customHeight="1" x14ac:dyDescent="0.15">
      <c r="A37" s="104" t="s">
        <v>90</v>
      </c>
      <c r="B37" s="105"/>
      <c r="C37" s="106"/>
      <c r="D37" s="107">
        <v>1923</v>
      </c>
      <c r="E37" s="107">
        <f>SUM(E33:E36)</f>
        <v>88900</v>
      </c>
      <c r="F37" s="108">
        <f t="shared" si="2"/>
        <v>4445000</v>
      </c>
      <c r="G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2.75" customHeight="1" x14ac:dyDescent="0.15">
      <c r="A38" s="10" t="s">
        <v>94</v>
      </c>
      <c r="B38" s="99"/>
      <c r="C38" s="99">
        <v>30</v>
      </c>
      <c r="D38" s="73">
        <v>206</v>
      </c>
      <c r="E38" s="70">
        <f t="shared" ref="E38:E41" si="3">D38*C38</f>
        <v>6180</v>
      </c>
      <c r="F38" s="66">
        <f t="shared" ref="F38:F42" si="4">$B$58*E38</f>
        <v>679800</v>
      </c>
      <c r="G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2.75" customHeight="1" x14ac:dyDescent="0.15">
      <c r="A39" s="10" t="s">
        <v>99</v>
      </c>
      <c r="B39" s="99"/>
      <c r="C39" s="99">
        <v>30</v>
      </c>
      <c r="D39" s="73">
        <v>238</v>
      </c>
      <c r="E39" s="70">
        <f t="shared" si="3"/>
        <v>7140</v>
      </c>
      <c r="F39" s="66">
        <f t="shared" si="4"/>
        <v>785400</v>
      </c>
      <c r="G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2.75" customHeight="1" x14ac:dyDescent="0.15">
      <c r="A40" s="10" t="s">
        <v>100</v>
      </c>
      <c r="B40" s="99"/>
      <c r="C40" s="99">
        <v>35</v>
      </c>
      <c r="D40" s="73">
        <v>153</v>
      </c>
      <c r="E40" s="70">
        <f t="shared" si="3"/>
        <v>5355</v>
      </c>
      <c r="F40" s="66">
        <f t="shared" si="4"/>
        <v>589050</v>
      </c>
      <c r="G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2.75" customHeight="1" x14ac:dyDescent="0.15">
      <c r="A41" s="10" t="s">
        <v>101</v>
      </c>
      <c r="B41" s="99"/>
      <c r="C41" s="99">
        <v>30</v>
      </c>
      <c r="D41" s="73">
        <v>172</v>
      </c>
      <c r="E41" s="70">
        <f t="shared" si="3"/>
        <v>5160</v>
      </c>
      <c r="F41" s="66">
        <f>$B$58*E41</f>
        <v>567600</v>
      </c>
      <c r="G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2.75" customHeight="1" x14ac:dyDescent="0.15">
      <c r="A42" s="104" t="s">
        <v>103</v>
      </c>
      <c r="B42" s="105"/>
      <c r="C42" s="106"/>
      <c r="D42" s="107">
        <f t="shared" ref="D42:E42" si="5">SUM(D38:D41)</f>
        <v>769</v>
      </c>
      <c r="E42" s="107">
        <f t="shared" si="5"/>
        <v>23835</v>
      </c>
      <c r="F42" s="108">
        <f t="shared" si="4"/>
        <v>2621850</v>
      </c>
      <c r="G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2.75" customHeight="1" x14ac:dyDescent="0.15">
      <c r="A43" s="10" t="s">
        <v>95</v>
      </c>
      <c r="B43" s="99"/>
      <c r="C43" s="73"/>
      <c r="D43" s="73"/>
      <c r="E43" s="70">
        <f>174*384</f>
        <v>66816</v>
      </c>
      <c r="F43" s="66">
        <f t="shared" ref="F43:F49" si="6">$B$56*E43</f>
        <v>3340800</v>
      </c>
      <c r="G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2.75" customHeight="1" x14ac:dyDescent="0.15">
      <c r="A44" s="10" t="s">
        <v>96</v>
      </c>
      <c r="B44" s="73"/>
      <c r="C44" s="73"/>
      <c r="D44" s="73"/>
      <c r="E44" s="70">
        <f>127*175</f>
        <v>22225</v>
      </c>
      <c r="F44" s="66">
        <f t="shared" si="6"/>
        <v>1111250</v>
      </c>
      <c r="G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2.75" customHeight="1" x14ac:dyDescent="0.15">
      <c r="A45" s="10" t="s">
        <v>104</v>
      </c>
      <c r="B45" s="73"/>
      <c r="C45" s="73"/>
      <c r="D45" s="73"/>
      <c r="E45" s="70">
        <f>176*82</f>
        <v>14432</v>
      </c>
      <c r="F45" s="66">
        <f t="shared" si="6"/>
        <v>721600</v>
      </c>
      <c r="G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2.75" customHeight="1" x14ac:dyDescent="0.15">
      <c r="A46" s="10" t="s">
        <v>105</v>
      </c>
      <c r="B46" s="73"/>
      <c r="C46" s="73"/>
      <c r="D46" s="73"/>
      <c r="E46" s="70">
        <v>2170</v>
      </c>
      <c r="F46" s="66">
        <f t="shared" si="6"/>
        <v>108500</v>
      </c>
      <c r="G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2.75" customHeight="1" x14ac:dyDescent="0.15">
      <c r="A47" s="10" t="s">
        <v>107</v>
      </c>
      <c r="B47" s="73"/>
      <c r="C47" s="73"/>
      <c r="D47" s="73"/>
      <c r="E47" s="70">
        <v>8357</v>
      </c>
      <c r="F47" s="66">
        <f t="shared" si="6"/>
        <v>417850</v>
      </c>
      <c r="G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2.75" customHeight="1" x14ac:dyDescent="0.15">
      <c r="A48" s="10" t="s">
        <v>108</v>
      </c>
      <c r="B48" s="73"/>
      <c r="C48" s="73"/>
      <c r="D48" s="73"/>
      <c r="E48" s="70">
        <v>35050</v>
      </c>
      <c r="F48" s="66">
        <f t="shared" si="6"/>
        <v>1752500</v>
      </c>
      <c r="G48" s="2"/>
      <c r="P48" s="109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2.75" customHeight="1" x14ac:dyDescent="0.15">
      <c r="A49" s="104" t="s">
        <v>109</v>
      </c>
      <c r="B49" s="105"/>
      <c r="C49" s="106"/>
      <c r="D49" s="107"/>
      <c r="E49" s="107">
        <f>SUM(E43:E48)</f>
        <v>149050</v>
      </c>
      <c r="F49" s="108">
        <f t="shared" si="6"/>
        <v>7452500</v>
      </c>
      <c r="G49" s="2"/>
      <c r="H49" s="2"/>
      <c r="I49" s="2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2.75" customHeight="1" x14ac:dyDescent="0.15">
      <c r="A50" s="10" t="s">
        <v>110</v>
      </c>
      <c r="B50" s="99"/>
      <c r="C50" s="73">
        <v>30</v>
      </c>
      <c r="D50" s="73">
        <v>2791</v>
      </c>
      <c r="E50" s="70">
        <v>35050</v>
      </c>
      <c r="F50" s="108">
        <f>B57*E50</f>
        <v>1752500</v>
      </c>
      <c r="G50" s="2"/>
      <c r="H50" s="2"/>
      <c r="I50" s="2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2.75" customHeight="1" x14ac:dyDescent="0.15">
      <c r="A51" s="10" t="s">
        <v>111</v>
      </c>
      <c r="B51" s="73"/>
      <c r="C51" s="73"/>
      <c r="D51" s="73"/>
      <c r="E51" s="70">
        <f>2540</f>
        <v>2540</v>
      </c>
      <c r="F51" s="108">
        <f>B55*E51</f>
        <v>17780</v>
      </c>
      <c r="G51" s="2"/>
      <c r="H51" s="2"/>
      <c r="I51" s="2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2.75" customHeight="1" x14ac:dyDescent="0.15">
      <c r="A52" s="10" t="s">
        <v>112</v>
      </c>
      <c r="B52" s="99"/>
      <c r="C52" s="99"/>
      <c r="D52" s="99"/>
      <c r="E52" s="70">
        <v>2</v>
      </c>
      <c r="F52" s="108">
        <f>B59*E52</f>
        <v>2000</v>
      </c>
      <c r="G52" s="110"/>
      <c r="H52" s="2"/>
      <c r="I52" s="2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2.75" customHeight="1" x14ac:dyDescent="0.15">
      <c r="A53" s="119" t="s">
        <v>113</v>
      </c>
      <c r="B53" s="2"/>
      <c r="C53" s="99"/>
      <c r="D53" s="99"/>
      <c r="E53" s="120">
        <v>696600</v>
      </c>
      <c r="F53" s="108">
        <f>E53*B60</f>
        <v>6966000</v>
      </c>
      <c r="G53" s="2"/>
      <c r="H53" s="2"/>
      <c r="I53" s="2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2.75" customHeight="1" x14ac:dyDescent="0.15">
      <c r="A54" s="121" t="s">
        <v>114</v>
      </c>
      <c r="B54" s="122">
        <v>25</v>
      </c>
      <c r="C54" s="99"/>
      <c r="D54" s="99"/>
      <c r="E54" s="123" t="s">
        <v>115</v>
      </c>
      <c r="F54" s="108">
        <f>F37+F42+F49+F50+F51+F52+F53</f>
        <v>23257630</v>
      </c>
      <c r="G54" s="2"/>
      <c r="H54" s="2"/>
      <c r="I54" s="2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2.75" customHeight="1" x14ac:dyDescent="0.15">
      <c r="A55" s="121" t="s">
        <v>116</v>
      </c>
      <c r="B55" s="122">
        <v>7</v>
      </c>
      <c r="C55" s="73"/>
      <c r="D55" s="73"/>
      <c r="E55" s="73"/>
      <c r="F55" s="74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2.75" customHeight="1" x14ac:dyDescent="0.15">
      <c r="A56" s="121" t="s">
        <v>117</v>
      </c>
      <c r="B56" s="122">
        <v>50</v>
      </c>
      <c r="C56" s="73"/>
      <c r="D56" s="73"/>
      <c r="E56" s="73"/>
      <c r="F56" s="74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2.75" customHeight="1" x14ac:dyDescent="0.15">
      <c r="A57" s="121" t="s">
        <v>118</v>
      </c>
      <c r="B57" s="122">
        <v>50</v>
      </c>
      <c r="C57" s="73"/>
      <c r="D57" s="73"/>
      <c r="E57" s="73"/>
      <c r="F57" s="74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2.75" customHeight="1" x14ac:dyDescent="0.15">
      <c r="A58" s="121" t="s">
        <v>119</v>
      </c>
      <c r="B58" s="122">
        <v>110</v>
      </c>
      <c r="C58" s="73"/>
      <c r="D58" s="73"/>
      <c r="E58" s="73"/>
      <c r="F58" s="74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2.75" customHeight="1" x14ac:dyDescent="0.15">
      <c r="A59" s="121" t="s">
        <v>120</v>
      </c>
      <c r="B59" s="122">
        <v>1000</v>
      </c>
      <c r="C59" s="124"/>
      <c r="D59" s="124"/>
      <c r="E59" s="124"/>
      <c r="F59" s="125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2.75" customHeight="1" x14ac:dyDescent="0.15">
      <c r="A60" s="126" t="s">
        <v>113</v>
      </c>
      <c r="B60" s="127">
        <v>10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2.75" customHeight="1" x14ac:dyDescent="0.15">
      <c r="A61" s="7"/>
      <c r="B61" s="128" t="s">
        <v>121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2.75" customHeight="1" x14ac:dyDescent="0.15">
      <c r="A62" s="35" t="s">
        <v>122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2.75" customHeight="1" x14ac:dyDescent="0.15">
      <c r="A63" s="35" t="s">
        <v>123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2.75" customHeight="1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2.75" customHeight="1" x14ac:dyDescent="0.15">
      <c r="A65" s="38"/>
      <c r="B65" s="683" t="s">
        <v>68</v>
      </c>
      <c r="C65" s="677"/>
      <c r="D65" s="677"/>
      <c r="E65" s="684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2.75" customHeight="1" x14ac:dyDescent="0.15">
      <c r="A66" s="129"/>
      <c r="B66" s="123" t="s">
        <v>124</v>
      </c>
      <c r="C66" s="130" t="s">
        <v>125</v>
      </c>
      <c r="D66" s="131" t="s">
        <v>126</v>
      </c>
      <c r="E66" s="132" t="s">
        <v>127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2.75" customHeight="1" x14ac:dyDescent="0.15">
      <c r="A67" s="10" t="s">
        <v>53</v>
      </c>
      <c r="B67" s="70">
        <v>950</v>
      </c>
      <c r="C67" s="70">
        <v>1500</v>
      </c>
      <c r="D67" s="70">
        <v>1500</v>
      </c>
      <c r="E67" s="72">
        <v>1500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2.75" customHeight="1" x14ac:dyDescent="0.15">
      <c r="A68" s="10" t="s">
        <v>128</v>
      </c>
      <c r="B68" s="68">
        <v>25</v>
      </c>
      <c r="C68" s="68">
        <v>27</v>
      </c>
      <c r="D68" s="68">
        <v>33</v>
      </c>
      <c r="E68" s="66">
        <v>35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2.75" customHeight="1" x14ac:dyDescent="0.15">
      <c r="A69" s="10" t="s">
        <v>129</v>
      </c>
      <c r="B69" s="68">
        <v>20</v>
      </c>
      <c r="C69" s="68">
        <v>25</v>
      </c>
      <c r="D69" s="133"/>
      <c r="E69" s="134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2.75" customHeight="1" x14ac:dyDescent="0.15">
      <c r="A70" s="10" t="s">
        <v>130</v>
      </c>
      <c r="B70" s="68">
        <v>12</v>
      </c>
      <c r="C70" s="68">
        <v>23</v>
      </c>
      <c r="D70" s="133"/>
      <c r="E70" s="134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2.75" customHeight="1" x14ac:dyDescent="0.15">
      <c r="A71" s="10" t="s">
        <v>131</v>
      </c>
      <c r="B71" s="68">
        <f>(20%*B70)+(30%*B69)+(50%*B68)</f>
        <v>20.9</v>
      </c>
      <c r="C71" s="68">
        <f>(30%*C70)+(30%*C69)+(40%*C68)</f>
        <v>25.2</v>
      </c>
      <c r="D71" s="70">
        <v>35</v>
      </c>
      <c r="E71" s="72">
        <v>35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2.75" customHeight="1" x14ac:dyDescent="0.15">
      <c r="A72" s="10" t="s">
        <v>132</v>
      </c>
      <c r="B72" s="68">
        <v>4</v>
      </c>
      <c r="C72" s="68">
        <v>9</v>
      </c>
      <c r="D72" s="68">
        <v>6</v>
      </c>
      <c r="E72" s="135">
        <v>6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2.75" customHeight="1" x14ac:dyDescent="0.15">
      <c r="A73" s="10" t="s">
        <v>55</v>
      </c>
      <c r="B73" s="68">
        <v>130</v>
      </c>
      <c r="C73" s="68">
        <v>80</v>
      </c>
      <c r="D73" s="68">
        <v>140</v>
      </c>
      <c r="E73" s="66">
        <v>160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2.75" customHeight="1" x14ac:dyDescent="0.15">
      <c r="A74" s="10" t="s">
        <v>56</v>
      </c>
      <c r="B74" s="78">
        <v>0.2</v>
      </c>
      <c r="C74" s="78">
        <v>0.2</v>
      </c>
      <c r="D74" s="78">
        <v>0.2</v>
      </c>
      <c r="E74" s="79">
        <v>0.2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2.75" customHeight="1" x14ac:dyDescent="0.15">
      <c r="A75" s="10" t="s">
        <v>133</v>
      </c>
      <c r="B75" s="78">
        <v>0.03</v>
      </c>
      <c r="C75" s="78">
        <v>0.03</v>
      </c>
      <c r="D75" s="70"/>
      <c r="E75" s="72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2.75" customHeight="1" x14ac:dyDescent="0.15">
      <c r="A76" s="10" t="s">
        <v>134</v>
      </c>
      <c r="B76" s="70">
        <f>SUM(P140:P141)</f>
        <v>116510</v>
      </c>
      <c r="C76" s="70">
        <f>SUM(P137:P139)</f>
        <v>61121</v>
      </c>
      <c r="D76" s="70">
        <f>SUM(P134:P136)</f>
        <v>69633</v>
      </c>
      <c r="E76" s="72">
        <f>P133</f>
        <v>66115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2.75" customHeight="1" x14ac:dyDescent="0.15">
      <c r="A77" s="10" t="s">
        <v>136</v>
      </c>
      <c r="B77" s="84">
        <v>0.85</v>
      </c>
      <c r="C77" s="84">
        <v>0.85</v>
      </c>
      <c r="D77" s="84">
        <v>0.85</v>
      </c>
      <c r="E77" s="85">
        <v>0.85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2.75" customHeight="1" x14ac:dyDescent="0.15">
      <c r="A78" s="34" t="s">
        <v>59</v>
      </c>
      <c r="B78" s="136">
        <f t="shared" ref="B78:E78" si="7">(B76*B77)/B67</f>
        <v>104.24578947368421</v>
      </c>
      <c r="C78" s="136">
        <f t="shared" si="7"/>
        <v>34.635233333333332</v>
      </c>
      <c r="D78" s="136">
        <f t="shared" si="7"/>
        <v>39.4587</v>
      </c>
      <c r="E78" s="137">
        <f t="shared" si="7"/>
        <v>37.465166666666669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2.75" customHeight="1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2.75" customHeight="1" x14ac:dyDescent="0.15">
      <c r="A80" s="38"/>
      <c r="B80" s="683" t="s">
        <v>62</v>
      </c>
      <c r="C80" s="677"/>
      <c r="D80" s="682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2.75" customHeight="1" x14ac:dyDescent="0.15">
      <c r="A81" s="129"/>
      <c r="B81" s="138" t="s">
        <v>137</v>
      </c>
      <c r="C81" s="139" t="s">
        <v>138</v>
      </c>
      <c r="D81" s="140" t="s">
        <v>139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2.75" customHeight="1" x14ac:dyDescent="0.15">
      <c r="A82" s="10" t="s">
        <v>140</v>
      </c>
      <c r="B82" s="80">
        <v>300</v>
      </c>
      <c r="C82" s="70">
        <v>1750</v>
      </c>
      <c r="D82" s="72">
        <v>2500</v>
      </c>
      <c r="E82" s="141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2.75" customHeight="1" x14ac:dyDescent="0.15">
      <c r="A83" s="10" t="s">
        <v>141</v>
      </c>
      <c r="B83" s="68">
        <v>2.5</v>
      </c>
      <c r="C83" s="64"/>
      <c r="D83" s="142"/>
      <c r="E83" s="141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2.75" customHeight="1" x14ac:dyDescent="0.15">
      <c r="A84" s="10" t="s">
        <v>142</v>
      </c>
      <c r="B84" s="68">
        <v>1.5</v>
      </c>
      <c r="C84" s="64"/>
      <c r="D84" s="142"/>
      <c r="E84" s="141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2.75" customHeight="1" x14ac:dyDescent="0.15">
      <c r="A85" s="10" t="s">
        <v>143</v>
      </c>
      <c r="B85" s="70">
        <v>400</v>
      </c>
      <c r="C85" s="73"/>
      <c r="D85" s="74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2.75" customHeight="1" x14ac:dyDescent="0.15">
      <c r="A86" s="10" t="s">
        <v>144</v>
      </c>
      <c r="B86" s="64"/>
      <c r="C86" s="64"/>
      <c r="D86" s="66">
        <f>35/12</f>
        <v>2.9166666666666665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2.75" customHeight="1" x14ac:dyDescent="0.15">
      <c r="A87" s="10" t="s">
        <v>145</v>
      </c>
      <c r="B87" s="64"/>
      <c r="C87" s="64"/>
      <c r="D87" s="66">
        <f>30/12</f>
        <v>2.5</v>
      </c>
      <c r="E87" s="109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2.75" customHeight="1" x14ac:dyDescent="0.15">
      <c r="A88" s="10" t="s">
        <v>146</v>
      </c>
      <c r="B88" s="68">
        <v>0.5</v>
      </c>
      <c r="C88" s="68">
        <f>0.75</f>
        <v>0.75</v>
      </c>
      <c r="D88" s="66">
        <v>0.75</v>
      </c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2.75" customHeight="1" x14ac:dyDescent="0.15">
      <c r="A89" s="34" t="s">
        <v>55</v>
      </c>
      <c r="B89" s="143">
        <v>50</v>
      </c>
      <c r="C89" s="143">
        <v>120</v>
      </c>
      <c r="D89" s="144">
        <v>120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2.75" customHeight="1" x14ac:dyDescent="0.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2.75" customHeight="1" x14ac:dyDescent="0.15">
      <c r="A91" s="38"/>
      <c r="B91" s="6" t="s">
        <v>67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2.75" customHeight="1" x14ac:dyDescent="0.15">
      <c r="A92" s="10" t="s">
        <v>147</v>
      </c>
      <c r="B92" s="59">
        <v>360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2.75" customHeight="1" x14ac:dyDescent="0.15">
      <c r="A93" s="10" t="s">
        <v>148</v>
      </c>
      <c r="B93" s="14">
        <v>180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2.75" customHeight="1" x14ac:dyDescent="0.15">
      <c r="A94" s="10" t="s">
        <v>149</v>
      </c>
      <c r="B94" s="14">
        <v>1500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2.75" customHeight="1" x14ac:dyDescent="0.15">
      <c r="A95" s="10" t="s">
        <v>150</v>
      </c>
      <c r="B95" s="9">
        <v>0.3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2.75" customHeight="1" x14ac:dyDescent="0.15">
      <c r="A96" s="10" t="s">
        <v>151</v>
      </c>
      <c r="B96" s="9">
        <v>0.2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2.75" customHeight="1" x14ac:dyDescent="0.15">
      <c r="A97" s="34" t="s">
        <v>55</v>
      </c>
      <c r="B97" s="145">
        <v>180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2.75" customHeight="1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2.75" customHeight="1" x14ac:dyDescent="0.15">
      <c r="A99" s="38"/>
      <c r="B99" s="6" t="s">
        <v>91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2.75" customHeight="1" x14ac:dyDescent="0.15">
      <c r="A100" s="8" t="s">
        <v>2</v>
      </c>
      <c r="B100" s="59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2.75" customHeight="1" x14ac:dyDescent="0.15">
      <c r="A101" s="10" t="s">
        <v>153</v>
      </c>
      <c r="B101" s="74">
        <v>100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2.75" customHeight="1" x14ac:dyDescent="0.15">
      <c r="A102" s="10" t="s">
        <v>56</v>
      </c>
      <c r="B102" s="146">
        <v>0.2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2.75" customHeight="1" x14ac:dyDescent="0.15">
      <c r="A103" s="10" t="s">
        <v>155</v>
      </c>
      <c r="B103" s="74">
        <f>10*20</f>
        <v>200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2.75" customHeight="1" x14ac:dyDescent="0.15">
      <c r="A104" s="147" t="s">
        <v>157</v>
      </c>
      <c r="B104" s="148">
        <f>Y143/B103</f>
        <v>477.97750000000002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2.75" customHeight="1" x14ac:dyDescent="0.15">
      <c r="A105" s="8" t="s">
        <v>158</v>
      </c>
      <c r="B105" s="74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2.75" customHeight="1" x14ac:dyDescent="0.15">
      <c r="A106" s="149" t="s">
        <v>159</v>
      </c>
      <c r="B106" s="150">
        <v>150</v>
      </c>
      <c r="C106" s="2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2.75" customHeight="1" x14ac:dyDescent="0.15">
      <c r="A107" s="10" t="s">
        <v>160</v>
      </c>
      <c r="B107" s="153">
        <f>Y133/B103</f>
        <v>33.753999999999998</v>
      </c>
      <c r="C107" s="7" t="s">
        <v>162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2.75" customHeight="1" x14ac:dyDescent="0.15">
      <c r="A108" s="10" t="s">
        <v>163</v>
      </c>
      <c r="B108" s="154">
        <v>0.75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2.75" customHeight="1" x14ac:dyDescent="0.15">
      <c r="A109" s="155" t="s">
        <v>164</v>
      </c>
      <c r="B109" s="156">
        <v>175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2.75" customHeight="1" x14ac:dyDescent="0.15">
      <c r="A110" s="10" t="s">
        <v>165</v>
      </c>
      <c r="B110" s="153">
        <f>F26</f>
        <v>122.184</v>
      </c>
      <c r="C110" s="7" t="s">
        <v>162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2.75" customHeight="1" x14ac:dyDescent="0.15">
      <c r="A111" s="10" t="s">
        <v>163</v>
      </c>
      <c r="B111" s="154">
        <v>0.85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2.75" customHeight="1" x14ac:dyDescent="0.15">
      <c r="A112" s="8" t="s">
        <v>167</v>
      </c>
      <c r="B112" s="153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2.75" customHeight="1" x14ac:dyDescent="0.15">
      <c r="A113" s="10" t="s">
        <v>168</v>
      </c>
      <c r="B113" s="153">
        <f>(Y134/B103)-B110</f>
        <v>95.960499999999968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2.75" customHeight="1" x14ac:dyDescent="0.15">
      <c r="A114" s="10" t="s">
        <v>163</v>
      </c>
      <c r="B114" s="154">
        <v>0.75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2.75" customHeight="1" x14ac:dyDescent="0.15">
      <c r="A115" s="157" t="s">
        <v>169</v>
      </c>
      <c r="B115" s="158">
        <f>(Y135/B103)</f>
        <v>226.07899999999998</v>
      </c>
      <c r="C115" s="7" t="s">
        <v>162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2.75" customHeight="1" x14ac:dyDescent="0.15">
      <c r="A116" s="10" t="s">
        <v>163</v>
      </c>
      <c r="B116" s="154">
        <v>0.6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2.75" customHeight="1" x14ac:dyDescent="0.15">
      <c r="A117" s="10" t="s">
        <v>171</v>
      </c>
      <c r="B117" s="142">
        <v>1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2.75" customHeight="1" x14ac:dyDescent="0.15">
      <c r="A118" s="159" t="s">
        <v>132</v>
      </c>
      <c r="B118" s="160">
        <v>0.5</v>
      </c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2.75" customHeight="1" x14ac:dyDescent="0.1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2.75" customHeight="1" x14ac:dyDescent="0.1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2.75" customHeight="1" x14ac:dyDescent="0.15">
      <c r="A121" s="38"/>
      <c r="B121" s="694" t="s">
        <v>172</v>
      </c>
      <c r="C121" s="677"/>
      <c r="D121" s="677"/>
      <c r="E121" s="677"/>
      <c r="F121" s="677"/>
      <c r="G121" s="677"/>
      <c r="H121" s="677"/>
      <c r="I121" s="682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2.75" customHeight="1" x14ac:dyDescent="0.15">
      <c r="A122" s="129"/>
      <c r="B122" s="688" t="s">
        <v>173</v>
      </c>
      <c r="C122" s="689"/>
      <c r="D122" s="689"/>
      <c r="E122" s="689"/>
      <c r="F122" s="690"/>
      <c r="G122" s="130" t="s">
        <v>175</v>
      </c>
      <c r="H122" s="686" t="s">
        <v>176</v>
      </c>
      <c r="I122" s="68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2.75" customHeight="1" x14ac:dyDescent="0.15">
      <c r="A123" s="129"/>
      <c r="B123" s="163" t="s">
        <v>178</v>
      </c>
      <c r="C123" s="163" t="s">
        <v>179</v>
      </c>
      <c r="D123" s="163" t="s">
        <v>180</v>
      </c>
      <c r="E123" s="163" t="s">
        <v>181</v>
      </c>
      <c r="F123" s="163" t="s">
        <v>182</v>
      </c>
      <c r="G123" s="163" t="s">
        <v>183</v>
      </c>
      <c r="H123" s="163" t="s">
        <v>184</v>
      </c>
      <c r="I123" s="164" t="s">
        <v>185</v>
      </c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2.75" customHeight="1" x14ac:dyDescent="0.15">
      <c r="A124" s="10" t="s">
        <v>186</v>
      </c>
      <c r="B124" s="78">
        <v>1</v>
      </c>
      <c r="C124" s="78">
        <v>0.75</v>
      </c>
      <c r="D124" s="78">
        <v>0.75</v>
      </c>
      <c r="E124" s="78">
        <v>0.75</v>
      </c>
      <c r="F124" s="78">
        <v>0.6</v>
      </c>
      <c r="G124" s="54"/>
      <c r="H124" s="165"/>
      <c r="I124" s="166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2.75" customHeight="1" x14ac:dyDescent="0.15">
      <c r="A125" s="10" t="s">
        <v>188</v>
      </c>
      <c r="B125" s="167">
        <v>6.5000000000000002E-2</v>
      </c>
      <c r="C125" s="84">
        <v>5.5E-2</v>
      </c>
      <c r="D125" s="84">
        <v>5.5E-2</v>
      </c>
      <c r="E125" s="84">
        <v>5.5E-2</v>
      </c>
      <c r="F125" s="84">
        <v>4.4999999999999998E-2</v>
      </c>
      <c r="G125" s="54"/>
      <c r="H125" s="165"/>
      <c r="I125" s="166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2.75" customHeight="1" x14ac:dyDescent="0.15">
      <c r="A126" s="10" t="s">
        <v>189</v>
      </c>
      <c r="B126" s="70">
        <v>10</v>
      </c>
      <c r="C126" s="70">
        <v>2</v>
      </c>
      <c r="D126" s="70">
        <v>2</v>
      </c>
      <c r="E126" s="70">
        <v>2</v>
      </c>
      <c r="F126" s="70">
        <v>20</v>
      </c>
      <c r="G126" s="54"/>
      <c r="H126" s="165"/>
      <c r="I126" s="166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2.75" customHeight="1" x14ac:dyDescent="0.15">
      <c r="A127" s="10" t="s">
        <v>190</v>
      </c>
      <c r="B127" s="70">
        <v>10</v>
      </c>
      <c r="C127" s="70">
        <v>2</v>
      </c>
      <c r="D127" s="70">
        <v>4</v>
      </c>
      <c r="E127" s="70">
        <v>6</v>
      </c>
      <c r="F127" s="70">
        <v>26</v>
      </c>
      <c r="G127" s="73"/>
      <c r="H127" s="70"/>
      <c r="I127" s="72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2.75" customHeight="1" x14ac:dyDescent="0.15">
      <c r="A128" s="34" t="s">
        <v>191</v>
      </c>
      <c r="B128" s="168" t="s">
        <v>192</v>
      </c>
      <c r="C128" s="168" t="s">
        <v>193</v>
      </c>
      <c r="D128" s="168" t="s">
        <v>194</v>
      </c>
      <c r="E128" s="168" t="s">
        <v>195</v>
      </c>
      <c r="F128" s="168"/>
      <c r="G128" s="168" t="s">
        <v>196</v>
      </c>
      <c r="H128" s="124"/>
      <c r="I128" s="125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2.75" customHeight="1" x14ac:dyDescent="0.15">
      <c r="A129" s="35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2.75" customHeight="1" x14ac:dyDescent="0.1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2.75" customHeight="1" x14ac:dyDescent="0.15">
      <c r="A131" s="169" t="s">
        <v>198</v>
      </c>
      <c r="B131" s="696" t="s">
        <v>62</v>
      </c>
      <c r="C131" s="677"/>
      <c r="D131" s="678"/>
      <c r="E131" s="691" t="s">
        <v>32</v>
      </c>
      <c r="F131" s="692"/>
      <c r="G131" s="693"/>
      <c r="H131" s="695" t="s">
        <v>67</v>
      </c>
      <c r="I131" s="677"/>
      <c r="J131" s="678"/>
      <c r="K131" s="685" t="s">
        <v>199</v>
      </c>
      <c r="L131" s="677"/>
      <c r="M131" s="678"/>
      <c r="N131" s="676" t="s">
        <v>68</v>
      </c>
      <c r="O131" s="677"/>
      <c r="P131" s="678"/>
      <c r="Q131" s="679" t="s">
        <v>77</v>
      </c>
      <c r="R131" s="677"/>
      <c r="S131" s="678"/>
      <c r="T131" s="680" t="s">
        <v>201</v>
      </c>
      <c r="U131" s="677"/>
      <c r="V131" s="678"/>
      <c r="W131" s="681" t="s">
        <v>202</v>
      </c>
      <c r="X131" s="677"/>
      <c r="Y131" s="682"/>
      <c r="Z131" s="7"/>
    </row>
    <row r="132" spans="1:26" ht="12.75" customHeight="1" x14ac:dyDescent="0.15">
      <c r="A132" s="172"/>
      <c r="B132" s="173" t="s">
        <v>203</v>
      </c>
      <c r="C132" s="54" t="s">
        <v>204</v>
      </c>
      <c r="D132" s="174" t="s">
        <v>205</v>
      </c>
      <c r="E132" s="175" t="s">
        <v>206</v>
      </c>
      <c r="F132" s="176" t="s">
        <v>204</v>
      </c>
      <c r="G132" s="177" t="s">
        <v>205</v>
      </c>
      <c r="H132" s="173" t="s">
        <v>206</v>
      </c>
      <c r="I132" s="54" t="s">
        <v>204</v>
      </c>
      <c r="J132" s="179" t="s">
        <v>205</v>
      </c>
      <c r="K132" s="173" t="s">
        <v>206</v>
      </c>
      <c r="L132" s="54" t="s">
        <v>204</v>
      </c>
      <c r="M132" s="179" t="s">
        <v>205</v>
      </c>
      <c r="N132" s="173" t="s">
        <v>206</v>
      </c>
      <c r="O132" s="54" t="s">
        <v>204</v>
      </c>
      <c r="P132" s="174" t="s">
        <v>205</v>
      </c>
      <c r="Q132" s="173" t="s">
        <v>206</v>
      </c>
      <c r="R132" s="54" t="s">
        <v>204</v>
      </c>
      <c r="S132" s="179" t="s">
        <v>205</v>
      </c>
      <c r="T132" s="173" t="s">
        <v>206</v>
      </c>
      <c r="U132" s="54" t="s">
        <v>204</v>
      </c>
      <c r="V132" s="179" t="s">
        <v>205</v>
      </c>
      <c r="W132" s="180" t="s">
        <v>206</v>
      </c>
      <c r="X132" s="54" t="s">
        <v>204</v>
      </c>
      <c r="Y132" s="59" t="s">
        <v>205</v>
      </c>
      <c r="Z132" s="7"/>
    </row>
    <row r="133" spans="1:26" ht="12.75" customHeight="1" x14ac:dyDescent="0.15">
      <c r="A133" s="181" t="s">
        <v>0</v>
      </c>
      <c r="B133" s="173">
        <v>18597</v>
      </c>
      <c r="C133" s="54">
        <v>2</v>
      </c>
      <c r="D133" s="174">
        <f t="shared" ref="D133:D142" si="8">C133*B133</f>
        <v>37194</v>
      </c>
      <c r="E133" s="182">
        <v>13528</v>
      </c>
      <c r="F133" s="183">
        <v>3</v>
      </c>
      <c r="G133" s="177">
        <f t="shared" ref="G133:G138" si="9">F133*E133</f>
        <v>40584</v>
      </c>
      <c r="H133" s="173">
        <v>18157</v>
      </c>
      <c r="I133" s="54">
        <v>8</v>
      </c>
      <c r="J133" s="179">
        <f>I133*H133</f>
        <v>145256</v>
      </c>
      <c r="K133" s="173">
        <v>31940</v>
      </c>
      <c r="L133" s="54">
        <v>1</v>
      </c>
      <c r="M133" s="179">
        <f t="shared" ref="M133:M135" si="10">L133*K133</f>
        <v>31940</v>
      </c>
      <c r="N133" s="184">
        <v>13223</v>
      </c>
      <c r="O133" s="185">
        <v>5</v>
      </c>
      <c r="P133" s="186">
        <f t="shared" ref="P133:P141" si="11">O133*N133</f>
        <v>66115</v>
      </c>
      <c r="Q133" s="173">
        <v>24000</v>
      </c>
      <c r="R133" s="54">
        <v>2</v>
      </c>
      <c r="S133" s="179">
        <f t="shared" ref="S133:S136" si="12">R133*Q133</f>
        <v>48000</v>
      </c>
      <c r="T133" s="173">
        <v>9430</v>
      </c>
      <c r="U133" s="54">
        <v>3</v>
      </c>
      <c r="V133" s="179">
        <f t="shared" ref="V133:V134" si="13">U133*T133</f>
        <v>28290</v>
      </c>
      <c r="W133" s="187">
        <f>9644*0.7</f>
        <v>6750.7999999999993</v>
      </c>
      <c r="X133" s="188">
        <v>1</v>
      </c>
      <c r="Y133" s="189">
        <f t="shared" ref="Y133:Y135" si="14">X133*W133</f>
        <v>6750.7999999999993</v>
      </c>
      <c r="Z133" s="7"/>
    </row>
    <row r="134" spans="1:26" ht="12.75" customHeight="1" x14ac:dyDescent="0.15">
      <c r="A134" s="181" t="s">
        <v>4</v>
      </c>
      <c r="B134" s="173">
        <f>9644*0.3</f>
        <v>2893.2</v>
      </c>
      <c r="C134" s="54">
        <v>1</v>
      </c>
      <c r="D134" s="174">
        <f t="shared" si="8"/>
        <v>2893.2</v>
      </c>
      <c r="E134" s="190">
        <v>29909</v>
      </c>
      <c r="F134" s="191">
        <v>2</v>
      </c>
      <c r="G134" s="177">
        <f t="shared" si="9"/>
        <v>59818</v>
      </c>
      <c r="H134" s="173"/>
      <c r="I134" s="54"/>
      <c r="J134" s="179"/>
      <c r="K134" s="173">
        <v>5912</v>
      </c>
      <c r="L134" s="54">
        <v>2</v>
      </c>
      <c r="M134" s="179">
        <f t="shared" si="10"/>
        <v>11824</v>
      </c>
      <c r="N134" s="192">
        <v>3375</v>
      </c>
      <c r="O134" s="193">
        <v>2</v>
      </c>
      <c r="P134" s="194">
        <f t="shared" si="11"/>
        <v>6750</v>
      </c>
      <c r="Q134" s="173">
        <v>11830</v>
      </c>
      <c r="R134" s="54">
        <v>1</v>
      </c>
      <c r="S134" s="179">
        <f t="shared" si="12"/>
        <v>11830</v>
      </c>
      <c r="T134" s="173">
        <v>19468</v>
      </c>
      <c r="U134" s="54">
        <v>1</v>
      </c>
      <c r="V134" s="179">
        <f t="shared" si="13"/>
        <v>19468</v>
      </c>
      <c r="W134" s="195">
        <f>62327*0.7</f>
        <v>43628.899999999994</v>
      </c>
      <c r="X134" s="196">
        <v>1</v>
      </c>
      <c r="Y134" s="197">
        <f t="shared" si="14"/>
        <v>43628.899999999994</v>
      </c>
      <c r="Z134" s="7"/>
    </row>
    <row r="135" spans="1:26" ht="12.75" customHeight="1" x14ac:dyDescent="0.15">
      <c r="A135" s="181" t="s">
        <v>5</v>
      </c>
      <c r="B135" s="173">
        <v>45223</v>
      </c>
      <c r="C135" s="54">
        <v>1</v>
      </c>
      <c r="D135" s="174">
        <f t="shared" si="8"/>
        <v>45223</v>
      </c>
      <c r="E135" s="182">
        <v>15736</v>
      </c>
      <c r="F135" s="183">
        <v>4</v>
      </c>
      <c r="G135" s="198">
        <f t="shared" si="9"/>
        <v>62944</v>
      </c>
      <c r="H135" s="173"/>
      <c r="I135" s="54"/>
      <c r="J135" s="179"/>
      <c r="K135" s="173">
        <v>5012</v>
      </c>
      <c r="L135" s="54">
        <v>3</v>
      </c>
      <c r="M135" s="179">
        <f t="shared" si="10"/>
        <v>15036</v>
      </c>
      <c r="N135" s="192">
        <v>4500</v>
      </c>
      <c r="O135" s="193">
        <v>1</v>
      </c>
      <c r="P135" s="194">
        <f t="shared" si="11"/>
        <v>4500</v>
      </c>
      <c r="Q135" s="173">
        <v>5386</v>
      </c>
      <c r="R135" s="54">
        <v>2</v>
      </c>
      <c r="S135" s="179">
        <f t="shared" si="12"/>
        <v>10772</v>
      </c>
      <c r="T135" s="173"/>
      <c r="U135" s="54"/>
      <c r="V135" s="179"/>
      <c r="W135" s="199">
        <f>64594*0.7</f>
        <v>45215.799999999996</v>
      </c>
      <c r="X135" s="200">
        <v>1</v>
      </c>
      <c r="Y135" s="201">
        <f t="shared" si="14"/>
        <v>45215.799999999996</v>
      </c>
      <c r="Z135" s="7"/>
    </row>
    <row r="136" spans="1:26" ht="12.75" customHeight="1" x14ac:dyDescent="0.15">
      <c r="A136" s="181" t="s">
        <v>210</v>
      </c>
      <c r="B136" s="173">
        <f>44989*0.3</f>
        <v>13496.699999999999</v>
      </c>
      <c r="C136" s="54">
        <v>1</v>
      </c>
      <c r="D136" s="174">
        <f t="shared" si="8"/>
        <v>13496.699999999999</v>
      </c>
      <c r="E136" s="202">
        <v>13829</v>
      </c>
      <c r="F136" s="203">
        <v>6</v>
      </c>
      <c r="G136" s="204">
        <f t="shared" si="9"/>
        <v>82974</v>
      </c>
      <c r="H136" s="173"/>
      <c r="I136" s="54"/>
      <c r="J136" s="179"/>
      <c r="K136" s="173"/>
      <c r="L136" s="54"/>
      <c r="M136" s="179"/>
      <c r="N136" s="192">
        <v>19461</v>
      </c>
      <c r="O136" s="193">
        <v>3</v>
      </c>
      <c r="P136" s="194">
        <f t="shared" si="11"/>
        <v>58383</v>
      </c>
      <c r="Q136" s="173">
        <v>27479</v>
      </c>
      <c r="R136" s="54">
        <v>2</v>
      </c>
      <c r="S136" s="179">
        <f t="shared" si="12"/>
        <v>54958</v>
      </c>
      <c r="T136" s="173"/>
      <c r="U136" s="54"/>
      <c r="V136" s="179"/>
      <c r="W136" s="180"/>
      <c r="X136" s="54"/>
      <c r="Y136" s="59"/>
      <c r="Z136" s="7"/>
    </row>
    <row r="137" spans="1:26" ht="12.75" customHeight="1" x14ac:dyDescent="0.15">
      <c r="A137" s="181" t="s">
        <v>212</v>
      </c>
      <c r="B137" s="173">
        <f>62327*0.3</f>
        <v>18698.099999999999</v>
      </c>
      <c r="C137" s="54">
        <v>1</v>
      </c>
      <c r="D137" s="174">
        <f t="shared" si="8"/>
        <v>18698.099999999999</v>
      </c>
      <c r="E137" s="205">
        <v>13576</v>
      </c>
      <c r="F137" s="206">
        <v>9</v>
      </c>
      <c r="G137" s="207">
        <f t="shared" si="9"/>
        <v>122184</v>
      </c>
      <c r="H137" s="173"/>
      <c r="I137" s="54"/>
      <c r="J137" s="179"/>
      <c r="K137" s="173"/>
      <c r="L137" s="54"/>
      <c r="M137" s="179"/>
      <c r="N137" s="208">
        <v>2404</v>
      </c>
      <c r="O137" s="209">
        <v>5</v>
      </c>
      <c r="P137" s="210">
        <f t="shared" si="11"/>
        <v>12020</v>
      </c>
      <c r="Q137" s="173"/>
      <c r="R137" s="54"/>
      <c r="S137" s="179"/>
      <c r="T137" s="173"/>
      <c r="U137" s="54"/>
      <c r="V137" s="179"/>
      <c r="W137" s="180"/>
      <c r="X137" s="54"/>
      <c r="Y137" s="59"/>
      <c r="Z137" s="7"/>
    </row>
    <row r="138" spans="1:26" ht="12.75" customHeight="1" x14ac:dyDescent="0.15">
      <c r="A138" s="181" t="s">
        <v>213</v>
      </c>
      <c r="B138" s="173">
        <v>42355</v>
      </c>
      <c r="C138" s="54">
        <v>1</v>
      </c>
      <c r="D138" s="174">
        <f t="shared" si="8"/>
        <v>42355</v>
      </c>
      <c r="E138" s="202">
        <v>4260</v>
      </c>
      <c r="F138" s="203">
        <v>6</v>
      </c>
      <c r="G138" s="204">
        <f t="shared" si="9"/>
        <v>25560</v>
      </c>
      <c r="H138" s="173"/>
      <c r="I138" s="54"/>
      <c r="J138" s="179"/>
      <c r="K138" s="173"/>
      <c r="L138" s="54"/>
      <c r="M138" s="179"/>
      <c r="N138" s="208">
        <v>10602</v>
      </c>
      <c r="O138" s="209">
        <v>2</v>
      </c>
      <c r="P138" s="210">
        <f t="shared" si="11"/>
        <v>21204</v>
      </c>
      <c r="Q138" s="173"/>
      <c r="R138" s="54"/>
      <c r="S138" s="179"/>
      <c r="T138" s="173"/>
      <c r="U138" s="54"/>
      <c r="V138" s="179"/>
      <c r="W138" s="180"/>
      <c r="X138" s="54"/>
      <c r="Y138" s="59"/>
      <c r="Z138" s="7"/>
    </row>
    <row r="139" spans="1:26" ht="12.75" customHeight="1" x14ac:dyDescent="0.15">
      <c r="A139" s="181" t="s">
        <v>214</v>
      </c>
      <c r="B139" s="173">
        <f>64594*0.3</f>
        <v>19378.2</v>
      </c>
      <c r="C139" s="54">
        <v>1</v>
      </c>
      <c r="D139" s="174">
        <f t="shared" si="8"/>
        <v>19378.2</v>
      </c>
      <c r="E139" s="175"/>
      <c r="F139" s="176"/>
      <c r="G139" s="177"/>
      <c r="H139" s="173"/>
      <c r="I139" s="54"/>
      <c r="J139" s="179"/>
      <c r="K139" s="173"/>
      <c r="L139" s="54"/>
      <c r="M139" s="179"/>
      <c r="N139" s="208">
        <v>9299</v>
      </c>
      <c r="O139" s="209">
        <v>3</v>
      </c>
      <c r="P139" s="210">
        <f t="shared" si="11"/>
        <v>27897</v>
      </c>
      <c r="Q139" s="173"/>
      <c r="R139" s="54"/>
      <c r="S139" s="179"/>
      <c r="T139" s="173"/>
      <c r="U139" s="54"/>
      <c r="V139" s="179"/>
      <c r="W139" s="180"/>
      <c r="X139" s="54"/>
      <c r="Y139" s="59"/>
      <c r="Z139" s="7"/>
    </row>
    <row r="140" spans="1:26" ht="12.75" customHeight="1" x14ac:dyDescent="0.15">
      <c r="A140" s="181" t="s">
        <v>216</v>
      </c>
      <c r="B140" s="173">
        <v>12709</v>
      </c>
      <c r="C140" s="54">
        <v>1</v>
      </c>
      <c r="D140" s="174">
        <f t="shared" si="8"/>
        <v>12709</v>
      </c>
      <c r="E140" s="175"/>
      <c r="F140" s="176"/>
      <c r="G140" s="177"/>
      <c r="H140" s="173"/>
      <c r="I140" s="54"/>
      <c r="J140" s="179"/>
      <c r="K140" s="173"/>
      <c r="L140" s="54"/>
      <c r="M140" s="179"/>
      <c r="N140" s="212">
        <v>17496</v>
      </c>
      <c r="O140" s="213">
        <v>5</v>
      </c>
      <c r="P140" s="214">
        <f t="shared" si="11"/>
        <v>87480</v>
      </c>
      <c r="Q140" s="173"/>
      <c r="R140" s="54"/>
      <c r="S140" s="179"/>
      <c r="T140" s="173"/>
      <c r="U140" s="54"/>
      <c r="V140" s="179"/>
      <c r="W140" s="180"/>
      <c r="X140" s="54"/>
      <c r="Y140" s="59"/>
      <c r="Z140" s="7"/>
    </row>
    <row r="141" spans="1:26" ht="12.75" customHeight="1" x14ac:dyDescent="0.15">
      <c r="A141" s="181" t="s">
        <v>217</v>
      </c>
      <c r="B141" s="215">
        <v>95879</v>
      </c>
      <c r="C141" s="216">
        <v>1</v>
      </c>
      <c r="D141" s="217">
        <f t="shared" si="8"/>
        <v>95879</v>
      </c>
      <c r="E141" s="175"/>
      <c r="F141" s="176"/>
      <c r="G141" s="177"/>
      <c r="H141" s="173"/>
      <c r="I141" s="54"/>
      <c r="J141" s="179"/>
      <c r="K141" s="173"/>
      <c r="L141" s="54"/>
      <c r="M141" s="179"/>
      <c r="N141" s="212">
        <v>14515</v>
      </c>
      <c r="O141" s="213">
        <v>2</v>
      </c>
      <c r="P141" s="214">
        <f t="shared" si="11"/>
        <v>29030</v>
      </c>
      <c r="Q141" s="173"/>
      <c r="R141" s="54"/>
      <c r="S141" s="179"/>
      <c r="T141" s="173"/>
      <c r="U141" s="54"/>
      <c r="V141" s="179"/>
      <c r="W141" s="180"/>
      <c r="X141" s="54"/>
      <c r="Y141" s="59"/>
      <c r="Z141" s="7"/>
    </row>
    <row r="142" spans="1:26" ht="12.75" customHeight="1" x14ac:dyDescent="0.15">
      <c r="A142" s="181" t="s">
        <v>219</v>
      </c>
      <c r="B142" s="173">
        <v>17090</v>
      </c>
      <c r="C142" s="54">
        <v>1</v>
      </c>
      <c r="D142" s="174">
        <f t="shared" si="8"/>
        <v>17090</v>
      </c>
      <c r="E142" s="175"/>
      <c r="F142" s="176"/>
      <c r="G142" s="177"/>
      <c r="H142" s="173"/>
      <c r="I142" s="54"/>
      <c r="J142" s="179"/>
      <c r="K142" s="173"/>
      <c r="L142" s="54"/>
      <c r="M142" s="179"/>
      <c r="N142" s="173"/>
      <c r="O142" s="54"/>
      <c r="P142" s="174"/>
      <c r="Q142" s="173"/>
      <c r="R142" s="54"/>
      <c r="S142" s="179"/>
      <c r="T142" s="173"/>
      <c r="U142" s="54"/>
      <c r="V142" s="179"/>
      <c r="W142" s="180"/>
      <c r="X142" s="54"/>
      <c r="Y142" s="59"/>
      <c r="Z142" s="7"/>
    </row>
    <row r="143" spans="1:26" ht="12.75" customHeight="1" x14ac:dyDescent="0.15">
      <c r="A143" s="218" t="s">
        <v>220</v>
      </c>
      <c r="B143" s="219"/>
      <c r="C143" s="220"/>
      <c r="D143" s="221">
        <f>SUM(D133:D142)</f>
        <v>304916.2</v>
      </c>
      <c r="E143" s="223"/>
      <c r="F143" s="225"/>
      <c r="G143" s="226">
        <f>SUM(G133:G142)</f>
        <v>394064</v>
      </c>
      <c r="H143" s="219"/>
      <c r="I143" s="220"/>
      <c r="J143" s="228">
        <f>SUM(J133:J142)</f>
        <v>145256</v>
      </c>
      <c r="K143" s="219"/>
      <c r="L143" s="220"/>
      <c r="M143" s="228">
        <f>SUM(M133:M142)</f>
        <v>58800</v>
      </c>
      <c r="N143" s="219"/>
      <c r="O143" s="220"/>
      <c r="P143" s="221">
        <f>SUM(P133:P142)</f>
        <v>313379</v>
      </c>
      <c r="Q143" s="219"/>
      <c r="R143" s="220"/>
      <c r="S143" s="228">
        <f>SUM(S133:S142)</f>
        <v>125560</v>
      </c>
      <c r="T143" s="219"/>
      <c r="U143" s="220"/>
      <c r="V143" s="228">
        <f>SUM(V133:V142)</f>
        <v>47758</v>
      </c>
      <c r="W143" s="229"/>
      <c r="X143" s="220"/>
      <c r="Y143" s="230">
        <f>SUM(Y133:Y142)</f>
        <v>95595.5</v>
      </c>
      <c r="Z143" s="7"/>
    </row>
    <row r="144" spans="1:26" ht="12.75" customHeight="1" x14ac:dyDescent="0.15">
      <c r="A144" s="231" t="s">
        <v>222</v>
      </c>
      <c r="B144" s="232" t="s">
        <v>223</v>
      </c>
      <c r="C144" s="233"/>
      <c r="D144" s="234"/>
      <c r="E144" s="235" t="s">
        <v>43</v>
      </c>
      <c r="F144" s="236"/>
      <c r="G144" s="237">
        <f>G137</f>
        <v>122184</v>
      </c>
      <c r="H144" s="238"/>
      <c r="I144" s="233"/>
      <c r="J144" s="239"/>
      <c r="K144" s="238"/>
      <c r="L144" s="233"/>
      <c r="M144" s="239"/>
      <c r="N144" s="240" t="s">
        <v>225</v>
      </c>
      <c r="O144" s="241">
        <f>P144/E67</f>
        <v>44.076666666666668</v>
      </c>
      <c r="P144" s="234">
        <f>P133</f>
        <v>66115</v>
      </c>
      <c r="Q144" s="238"/>
      <c r="R144" s="233"/>
      <c r="S144" s="239"/>
      <c r="T144" s="238"/>
      <c r="U144" s="233"/>
      <c r="V144" s="239"/>
      <c r="W144" s="187" t="s">
        <v>227</v>
      </c>
      <c r="X144" s="233"/>
      <c r="Y144" s="242"/>
      <c r="Z144" s="7"/>
    </row>
    <row r="145" spans="1:26" ht="12.75" customHeight="1" x14ac:dyDescent="0.15">
      <c r="A145" s="172"/>
      <c r="B145" s="243" t="s">
        <v>138</v>
      </c>
      <c r="C145" s="54"/>
      <c r="D145" s="174"/>
      <c r="E145" s="244" t="s">
        <v>228</v>
      </c>
      <c r="F145" s="176"/>
      <c r="G145" s="177">
        <f>G136+G138</f>
        <v>108534</v>
      </c>
      <c r="H145" s="173"/>
      <c r="I145" s="54"/>
      <c r="J145" s="179"/>
      <c r="K145" s="173"/>
      <c r="L145" s="54"/>
      <c r="M145" s="179"/>
      <c r="N145" s="192" t="s">
        <v>68</v>
      </c>
      <c r="O145" s="246">
        <f>P145/D67</f>
        <v>90.498666666666665</v>
      </c>
      <c r="P145" s="174">
        <f>SUM(P133:P136)</f>
        <v>135748</v>
      </c>
      <c r="Q145" s="173"/>
      <c r="R145" s="246"/>
      <c r="S145" s="179"/>
      <c r="T145" s="173"/>
      <c r="U145" s="54"/>
      <c r="V145" s="179"/>
      <c r="W145" s="195" t="s">
        <v>231</v>
      </c>
      <c r="X145" s="54"/>
      <c r="Y145" s="59"/>
      <c r="Z145" s="7"/>
    </row>
    <row r="146" spans="1:26" ht="12.75" customHeight="1" x14ac:dyDescent="0.15">
      <c r="A146" s="172"/>
      <c r="B146" s="247" t="s">
        <v>139</v>
      </c>
      <c r="C146" s="54"/>
      <c r="D146" s="174"/>
      <c r="E146" s="248" t="s">
        <v>232</v>
      </c>
      <c r="F146" s="176"/>
      <c r="G146" s="177">
        <f>G135+(G133*80%)</f>
        <v>95411.199999999997</v>
      </c>
      <c r="H146" s="173"/>
      <c r="I146" s="54"/>
      <c r="J146" s="179"/>
      <c r="K146" s="173"/>
      <c r="L146" s="54"/>
      <c r="M146" s="179"/>
      <c r="N146" s="208" t="s">
        <v>233</v>
      </c>
      <c r="O146" s="246">
        <f>P146/C67</f>
        <v>40.74733333333333</v>
      </c>
      <c r="P146" s="174">
        <f>SUM(P137:P139)</f>
        <v>61121</v>
      </c>
      <c r="Q146" s="173"/>
      <c r="R146" s="246"/>
      <c r="S146" s="179"/>
      <c r="T146" s="173"/>
      <c r="U146" s="54"/>
      <c r="V146" s="179"/>
      <c r="W146" s="199" t="s">
        <v>234</v>
      </c>
      <c r="X146" s="54"/>
      <c r="Y146" s="59"/>
      <c r="Z146" s="7"/>
    </row>
    <row r="147" spans="1:26" ht="12.75" customHeight="1" x14ac:dyDescent="0.15">
      <c r="A147" s="172"/>
      <c r="B147" s="173"/>
      <c r="C147" s="54"/>
      <c r="D147" s="174"/>
      <c r="E147" s="249" t="s">
        <v>42</v>
      </c>
      <c r="F147" s="176"/>
      <c r="G147" s="177">
        <f>G134*80%</f>
        <v>47854.400000000001</v>
      </c>
      <c r="H147" s="173"/>
      <c r="I147" s="54"/>
      <c r="J147" s="179"/>
      <c r="K147" s="173"/>
      <c r="L147" s="54"/>
      <c r="M147" s="179"/>
      <c r="N147" s="212" t="s">
        <v>235</v>
      </c>
      <c r="O147" s="246">
        <f>P147/B67</f>
        <v>122.6421052631579</v>
      </c>
      <c r="P147" s="174">
        <f>SUM(P140:P141)</f>
        <v>116510</v>
      </c>
      <c r="Q147" s="173"/>
      <c r="R147" s="246"/>
      <c r="S147" s="179"/>
      <c r="T147" s="173"/>
      <c r="U147" s="54"/>
      <c r="V147" s="179"/>
      <c r="W147" s="180"/>
      <c r="X147" s="54"/>
      <c r="Y147" s="59"/>
      <c r="Z147" s="7"/>
    </row>
    <row r="148" spans="1:26" ht="12.75" customHeight="1" x14ac:dyDescent="0.15">
      <c r="A148" s="172"/>
      <c r="B148" s="173"/>
      <c r="C148" s="54"/>
      <c r="D148" s="174"/>
      <c r="E148" s="173" t="s">
        <v>237</v>
      </c>
      <c r="F148" s="251"/>
      <c r="G148" s="177">
        <f>(G133+G134)*20%</f>
        <v>20080.400000000001</v>
      </c>
      <c r="H148" s="173"/>
      <c r="I148" s="54"/>
      <c r="J148" s="179"/>
      <c r="K148" s="173"/>
      <c r="L148" s="54"/>
      <c r="M148" s="179"/>
      <c r="N148" s="173" t="s">
        <v>238</v>
      </c>
      <c r="O148" s="246">
        <f t="shared" ref="O148:P148" si="15">SUM(O144:O147)</f>
        <v>297.96477192982456</v>
      </c>
      <c r="P148" s="174">
        <f t="shared" si="15"/>
        <v>379494</v>
      </c>
      <c r="Q148" s="173"/>
      <c r="R148" s="54"/>
      <c r="S148" s="179"/>
      <c r="T148" s="173"/>
      <c r="U148" s="54"/>
      <c r="V148" s="179"/>
      <c r="W148" s="180"/>
      <c r="X148" s="54"/>
      <c r="Y148" s="59"/>
      <c r="Z148" s="7"/>
    </row>
    <row r="149" spans="1:26" ht="12.75" customHeight="1" x14ac:dyDescent="0.15">
      <c r="A149" s="252"/>
      <c r="B149" s="253"/>
      <c r="C149" s="254"/>
      <c r="D149" s="256"/>
      <c r="E149" s="258"/>
      <c r="F149" s="259" t="s">
        <v>59</v>
      </c>
      <c r="G149" s="260" t="s">
        <v>241</v>
      </c>
      <c r="H149" s="253"/>
      <c r="I149" s="254"/>
      <c r="J149" s="262"/>
      <c r="K149" s="253"/>
      <c r="L149" s="254"/>
      <c r="M149" s="262"/>
      <c r="N149" s="253"/>
      <c r="O149" s="263" t="s">
        <v>59</v>
      </c>
      <c r="P149" s="256"/>
      <c r="Q149" s="253"/>
      <c r="R149" s="254"/>
      <c r="S149" s="262"/>
      <c r="T149" s="253"/>
      <c r="U149" s="254"/>
      <c r="V149" s="262"/>
      <c r="W149" s="264"/>
      <c r="X149" s="254"/>
      <c r="Y149" s="265"/>
      <c r="Z149" s="7"/>
    </row>
    <row r="150" spans="1:26" ht="12.75" customHeight="1" x14ac:dyDescent="0.1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2.75" customHeight="1" x14ac:dyDescent="0.1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 t="s">
        <v>242</v>
      </c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2.75" customHeight="1" x14ac:dyDescent="0.15">
      <c r="A152" s="694" t="s">
        <v>401</v>
      </c>
      <c r="B152" s="677"/>
      <c r="C152" s="677"/>
      <c r="D152" s="677"/>
      <c r="E152" s="677"/>
      <c r="F152" s="677"/>
      <c r="G152" s="677"/>
      <c r="H152" s="682"/>
      <c r="I152" s="7"/>
      <c r="J152" s="7"/>
      <c r="K152" s="7"/>
      <c r="L152" s="7"/>
      <c r="M152" s="7"/>
      <c r="N152" s="268">
        <v>13223</v>
      </c>
      <c r="O152" s="268">
        <v>5</v>
      </c>
      <c r="P152" s="268">
        <f t="shared" ref="P152:P157" si="16">O152*N152</f>
        <v>66115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2.75" customHeight="1" x14ac:dyDescent="0.15">
      <c r="A153" s="7" t="s">
        <v>63</v>
      </c>
      <c r="B153" s="7" t="s">
        <v>64</v>
      </c>
      <c r="C153" s="7"/>
      <c r="D153" s="7" t="s">
        <v>65</v>
      </c>
      <c r="E153" s="7"/>
      <c r="F153" s="7"/>
      <c r="G153" s="7" t="s">
        <v>397</v>
      </c>
      <c r="H153" s="7"/>
      <c r="I153" s="7"/>
      <c r="J153" s="7"/>
      <c r="K153" s="7"/>
      <c r="L153" s="7"/>
      <c r="M153" s="7"/>
      <c r="N153" s="268">
        <v>3375</v>
      </c>
      <c r="O153" s="268">
        <v>2</v>
      </c>
      <c r="P153" s="268">
        <f t="shared" si="16"/>
        <v>6750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2.75" customHeight="1" x14ac:dyDescent="0.15">
      <c r="A154" s="93" t="s">
        <v>67</v>
      </c>
      <c r="B154" s="94" t="s">
        <v>68</v>
      </c>
      <c r="C154" s="94" t="s">
        <v>68</v>
      </c>
      <c r="D154" s="95" t="s">
        <v>69</v>
      </c>
      <c r="E154" s="95" t="s">
        <v>69</v>
      </c>
      <c r="F154" s="95" t="s">
        <v>69</v>
      </c>
      <c r="G154" s="96" t="s">
        <v>70</v>
      </c>
      <c r="H154" s="96" t="s">
        <v>70</v>
      </c>
      <c r="I154" s="96" t="s">
        <v>70</v>
      </c>
      <c r="J154" s="96"/>
      <c r="K154" s="7"/>
      <c r="L154" s="7"/>
      <c r="M154" s="7"/>
      <c r="N154" s="268">
        <v>4500</v>
      </c>
      <c r="O154" s="268">
        <v>1</v>
      </c>
      <c r="P154" s="268">
        <f t="shared" si="16"/>
        <v>4500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2.75" customHeight="1" x14ac:dyDescent="0.15">
      <c r="A155" s="93" t="s">
        <v>77</v>
      </c>
      <c r="B155" s="94" t="s">
        <v>62</v>
      </c>
      <c r="C155" s="94" t="s">
        <v>62</v>
      </c>
      <c r="D155" s="95" t="s">
        <v>78</v>
      </c>
      <c r="E155" s="95" t="s">
        <v>78</v>
      </c>
      <c r="F155" s="95" t="s">
        <v>78</v>
      </c>
      <c r="G155" s="96" t="s">
        <v>79</v>
      </c>
      <c r="H155" s="96" t="s">
        <v>79</v>
      </c>
      <c r="I155" s="96" t="s">
        <v>79</v>
      </c>
      <c r="J155" s="96"/>
      <c r="K155" s="7"/>
      <c r="L155" s="7"/>
      <c r="M155" s="7"/>
      <c r="N155" s="268">
        <v>19461</v>
      </c>
      <c r="O155" s="268">
        <v>3</v>
      </c>
      <c r="P155" s="268">
        <f t="shared" si="16"/>
        <v>58383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2.75" customHeight="1" x14ac:dyDescent="0.15">
      <c r="A156" s="93" t="s">
        <v>81</v>
      </c>
      <c r="B156" s="94" t="s">
        <v>77</v>
      </c>
      <c r="C156" s="94" t="s">
        <v>77</v>
      </c>
      <c r="D156" s="95" t="s">
        <v>68</v>
      </c>
      <c r="E156" s="95" t="s">
        <v>68</v>
      </c>
      <c r="F156" s="95" t="s">
        <v>68</v>
      </c>
      <c r="G156" s="96"/>
      <c r="H156" s="96"/>
      <c r="I156" s="96"/>
      <c r="J156" s="96"/>
      <c r="K156" s="7"/>
      <c r="L156" s="7"/>
      <c r="M156" s="7"/>
      <c r="N156" s="268">
        <v>17496</v>
      </c>
      <c r="O156" s="268">
        <v>5</v>
      </c>
      <c r="P156" s="268">
        <f t="shared" si="16"/>
        <v>87480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2.75" customHeight="1" x14ac:dyDescent="0.15">
      <c r="A157" s="93"/>
      <c r="B157" s="94" t="s">
        <v>83</v>
      </c>
      <c r="C157" s="94" t="s">
        <v>83</v>
      </c>
      <c r="D157" s="95" t="s">
        <v>62</v>
      </c>
      <c r="E157" s="95" t="s">
        <v>62</v>
      </c>
      <c r="F157" s="95" t="s">
        <v>62</v>
      </c>
      <c r="G157" s="96"/>
      <c r="H157" s="96"/>
      <c r="I157" s="96"/>
      <c r="J157" s="96"/>
      <c r="K157" s="7"/>
      <c r="L157" s="7"/>
      <c r="M157" s="7"/>
      <c r="N157" s="268">
        <v>14515</v>
      </c>
      <c r="O157" s="268">
        <v>2</v>
      </c>
      <c r="P157" s="268">
        <f t="shared" si="16"/>
        <v>29030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2.75" customHeight="1" x14ac:dyDescent="0.15">
      <c r="A158" s="93"/>
      <c r="B158" s="94" t="s">
        <v>85</v>
      </c>
      <c r="C158" s="94" t="s">
        <v>85</v>
      </c>
      <c r="D158" s="95" t="s">
        <v>77</v>
      </c>
      <c r="E158" s="95" t="s">
        <v>77</v>
      </c>
      <c r="F158" s="95" t="s">
        <v>77</v>
      </c>
      <c r="G158" s="96"/>
      <c r="H158" s="96"/>
      <c r="I158" s="96"/>
      <c r="J158" s="96"/>
      <c r="K158" s="7"/>
      <c r="L158" s="7"/>
      <c r="M158" s="7"/>
      <c r="N158" s="270"/>
      <c r="O158" s="270"/>
      <c r="P158" s="270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2.75" customHeight="1" x14ac:dyDescent="0.15">
      <c r="A159" s="100" t="s">
        <v>87</v>
      </c>
      <c r="B159" s="101"/>
      <c r="C159" s="101" t="s">
        <v>88</v>
      </c>
      <c r="D159" s="102" t="s">
        <v>88</v>
      </c>
      <c r="E159" s="102"/>
      <c r="F159" s="102"/>
      <c r="G159" s="103" t="s">
        <v>89</v>
      </c>
      <c r="H159" s="103" t="s">
        <v>89</v>
      </c>
      <c r="I159" s="103"/>
      <c r="J159" s="103"/>
      <c r="K159" s="7"/>
      <c r="L159" s="7"/>
      <c r="M159" s="7"/>
      <c r="N159" s="2"/>
      <c r="O159" s="2"/>
      <c r="P159" s="2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2.75" customHeight="1" x14ac:dyDescent="0.15">
      <c r="A160" s="101" t="s">
        <v>92</v>
      </c>
      <c r="B160" s="101" t="s">
        <v>86</v>
      </c>
      <c r="C160" s="101" t="s">
        <v>93</v>
      </c>
      <c r="D160" s="102" t="s">
        <v>93</v>
      </c>
      <c r="E160" s="102" t="s">
        <v>93</v>
      </c>
      <c r="F160" s="102"/>
      <c r="G160" s="103"/>
      <c r="H160" s="103"/>
      <c r="I160" s="103"/>
      <c r="J160" s="103"/>
      <c r="K160" s="7"/>
      <c r="L160" s="7"/>
      <c r="M160" s="7"/>
      <c r="N160" s="2"/>
      <c r="O160" s="2"/>
      <c r="P160" s="2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2.75" customHeight="1" x14ac:dyDescent="0.15">
      <c r="A161" s="100"/>
      <c r="B161" s="101" t="s">
        <v>95</v>
      </c>
      <c r="C161" s="101" t="s">
        <v>96</v>
      </c>
      <c r="D161" s="102" t="s">
        <v>97</v>
      </c>
      <c r="E161" s="102" t="s">
        <v>97</v>
      </c>
      <c r="F161" s="102" t="s">
        <v>97</v>
      </c>
      <c r="G161" s="103" t="s">
        <v>98</v>
      </c>
      <c r="H161" s="103" t="s">
        <v>98</v>
      </c>
      <c r="I161" s="103" t="s">
        <v>98</v>
      </c>
      <c r="J161" s="103" t="s">
        <v>98</v>
      </c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3" x14ac:dyDescent="0.15">
      <c r="A162" s="100"/>
      <c r="B162" s="101"/>
      <c r="C162" s="101"/>
      <c r="D162" s="102"/>
      <c r="E162" s="102"/>
      <c r="F162" s="102"/>
      <c r="G162" s="103"/>
      <c r="H162" s="103"/>
      <c r="I162" s="103"/>
      <c r="J162" s="10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109">
        <f>F38</f>
        <v>679800</v>
      </c>
      <c r="B163" s="109">
        <f>F36</f>
        <v>2047500</v>
      </c>
      <c r="C163" s="109">
        <f>F39</f>
        <v>785400</v>
      </c>
      <c r="D163" s="109">
        <f>F50</f>
        <v>1752500</v>
      </c>
      <c r="E163" s="109">
        <f>F40</f>
        <v>589050</v>
      </c>
      <c r="F163" s="2"/>
      <c r="G163" s="110">
        <f>F41</f>
        <v>567600</v>
      </c>
      <c r="H163" s="7"/>
      <c r="I163" s="7"/>
      <c r="J163" s="7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109">
        <f>F48</f>
        <v>1752500</v>
      </c>
      <c r="B164" s="109">
        <f>F43</f>
        <v>3340800</v>
      </c>
      <c r="C164" s="109">
        <f>F44</f>
        <v>1111250</v>
      </c>
      <c r="D164" s="109">
        <f>F52</f>
        <v>2000</v>
      </c>
      <c r="E164" s="109"/>
      <c r="F164" s="2"/>
      <c r="G164" s="110">
        <f>F46</f>
        <v>108500</v>
      </c>
      <c r="H164" s="7"/>
      <c r="I164" s="7"/>
      <c r="J164" s="7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7"/>
      <c r="B165" s="7"/>
      <c r="C165" s="109">
        <f>F45</f>
        <v>721600</v>
      </c>
      <c r="D165" s="109">
        <f>F53</f>
        <v>6966000</v>
      </c>
      <c r="E165" s="2"/>
      <c r="F165" s="2"/>
      <c r="G165" s="110">
        <f>F51</f>
        <v>17780</v>
      </c>
      <c r="H165" s="7"/>
      <c r="I165" s="7"/>
      <c r="J165" s="7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7"/>
      <c r="B166" s="7"/>
      <c r="C166" s="109">
        <f>F47</f>
        <v>417850</v>
      </c>
      <c r="D166" s="7"/>
      <c r="E166" s="2"/>
      <c r="F166" s="2"/>
      <c r="G166" s="2"/>
      <c r="H166" s="7"/>
      <c r="I166" s="7"/>
      <c r="J166" s="7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7"/>
      <c r="B167" s="7"/>
      <c r="C167" s="109">
        <f>F33</f>
        <v>875000</v>
      </c>
      <c r="D167" s="7"/>
      <c r="E167" s="54"/>
      <c r="F167" s="54"/>
      <c r="G167" s="2"/>
      <c r="H167" s="7"/>
      <c r="I167" s="7"/>
      <c r="J167" s="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7"/>
      <c r="B168" s="7"/>
      <c r="C168" s="109">
        <f>F34</f>
        <v>805000</v>
      </c>
      <c r="D168" s="7"/>
      <c r="E168" s="7"/>
      <c r="F168" s="7"/>
      <c r="G168" s="7"/>
      <c r="H168" s="7"/>
      <c r="I168" s="7"/>
      <c r="J168" s="7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7"/>
      <c r="B169" s="7"/>
      <c r="C169" s="109">
        <f>F35</f>
        <v>717500</v>
      </c>
      <c r="D169" s="7"/>
      <c r="E169" s="7"/>
      <c r="F169" s="7"/>
      <c r="G169" s="7"/>
      <c r="H169" s="7"/>
      <c r="I169" s="7"/>
      <c r="J169" s="7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110">
        <f>SUM(A163:A169)</f>
        <v>2432300</v>
      </c>
      <c r="B170" s="110">
        <f>SUM(B163:B169)</f>
        <v>5388300</v>
      </c>
      <c r="C170" s="110">
        <f>SUM(C163:C169)</f>
        <v>5433600</v>
      </c>
      <c r="D170" s="110">
        <f>SUM(D163:D169)</f>
        <v>8720500</v>
      </c>
      <c r="E170" s="110">
        <f>SUM(E163:E169)</f>
        <v>589050</v>
      </c>
      <c r="F170" s="110">
        <f>SUM(F163:F169)</f>
        <v>0</v>
      </c>
      <c r="G170" s="110">
        <f>SUM(G163:G169)</f>
        <v>693880</v>
      </c>
      <c r="H170" s="110"/>
      <c r="I170" s="7"/>
      <c r="J170" s="7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A152:H152"/>
    <mergeCell ref="B14:F14"/>
    <mergeCell ref="B31:F31"/>
    <mergeCell ref="B80:D80"/>
    <mergeCell ref="K131:M131"/>
    <mergeCell ref="H122:I122"/>
    <mergeCell ref="B122:F122"/>
    <mergeCell ref="E131:G131"/>
    <mergeCell ref="B121:I121"/>
    <mergeCell ref="H131:J131"/>
    <mergeCell ref="B131:D131"/>
    <mergeCell ref="N131:P131"/>
    <mergeCell ref="Q131:S131"/>
    <mergeCell ref="T131:V131"/>
    <mergeCell ref="W131:Y131"/>
    <mergeCell ref="B65:E65"/>
  </mergeCells>
  <phoneticPr fontId="24" type="noConversion"/>
  <pageMargins left="0.7" right="0.7" top="0.75" bottom="0.75" header="0.3" footer="0.3"/>
  <pageSetup paperSize="3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92" workbookViewId="0">
      <selection activeCell="C70" sqref="C70"/>
    </sheetView>
  </sheetViews>
  <sheetFormatPr baseColWidth="10" defaultColWidth="17.33203125" defaultRowHeight="15" customHeight="1" x14ac:dyDescent="0.15"/>
  <cols>
    <col min="1" max="1" width="28" customWidth="1"/>
    <col min="2" max="2" width="7.1640625" customWidth="1"/>
    <col min="3" max="3" width="20.5" customWidth="1"/>
    <col min="4" max="4" width="19.5" customWidth="1"/>
    <col min="5" max="6" width="14.6640625" customWidth="1"/>
    <col min="7" max="9" width="12.5" customWidth="1"/>
    <col min="10" max="12" width="11.5" customWidth="1"/>
    <col min="13" max="23" width="10" customWidth="1"/>
  </cols>
  <sheetData>
    <row r="1" spans="1:26" ht="12.75" customHeight="1" thickBot="1" x14ac:dyDescent="0.2">
      <c r="A1" s="732" t="s">
        <v>254</v>
      </c>
      <c r="B1" s="733"/>
      <c r="C1" s="733"/>
      <c r="D1" s="734"/>
      <c r="E1" s="284"/>
      <c r="F1" s="284"/>
      <c r="G1" s="285"/>
      <c r="H1" s="670" t="s">
        <v>3</v>
      </c>
      <c r="I1" s="272">
        <v>176272</v>
      </c>
      <c r="J1" s="669" t="s">
        <v>399</v>
      </c>
      <c r="K1" s="669"/>
      <c r="L1" s="669"/>
      <c r="M1" s="669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15">
      <c r="A2" s="737"/>
      <c r="B2" s="738"/>
      <c r="C2" s="738"/>
      <c r="D2" s="736"/>
      <c r="E2" s="286"/>
      <c r="F2" s="286"/>
      <c r="G2" s="286"/>
      <c r="H2" s="286"/>
      <c r="J2" s="713" t="s">
        <v>0</v>
      </c>
      <c r="K2" s="714">
        <v>1042694</v>
      </c>
      <c r="L2" s="715"/>
      <c r="M2" s="716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735" t="s">
        <v>207</v>
      </c>
      <c r="B3" s="667"/>
      <c r="C3" s="288"/>
      <c r="D3" s="736"/>
      <c r="E3" s="7"/>
      <c r="F3" s="7"/>
      <c r="G3" s="7"/>
      <c r="H3" s="7"/>
      <c r="J3" s="717" t="s">
        <v>4</v>
      </c>
      <c r="K3" s="718">
        <v>134500</v>
      </c>
      <c r="L3" s="719"/>
      <c r="M3" s="720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15">
      <c r="A4" s="735" t="s">
        <v>264</v>
      </c>
      <c r="B4" s="289">
        <f>-'Summary Board'!C36*0.7</f>
        <v>164224305</v>
      </c>
      <c r="C4" s="290">
        <f>-PMT(B5/12,B6*12,B4)*12</f>
        <v>20423934.7793121</v>
      </c>
      <c r="D4" s="736"/>
      <c r="E4" s="291">
        <f>C4</f>
        <v>20423934.7793121</v>
      </c>
      <c r="F4" s="7"/>
      <c r="G4" s="7"/>
      <c r="H4" s="7"/>
      <c r="J4" s="717" t="s">
        <v>5</v>
      </c>
      <c r="K4" s="718">
        <v>284500</v>
      </c>
      <c r="L4" s="719"/>
      <c r="M4" s="720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15">
      <c r="A5" s="735" t="s">
        <v>266</v>
      </c>
      <c r="B5" s="293">
        <v>4.4999999999999998E-2</v>
      </c>
      <c r="C5" s="288"/>
      <c r="D5" s="736"/>
      <c r="E5" s="7"/>
      <c r="F5" s="7"/>
      <c r="G5" s="7"/>
      <c r="H5" s="7"/>
      <c r="J5" s="721"/>
      <c r="K5" s="719"/>
      <c r="L5" s="719"/>
      <c r="M5" s="720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15">
      <c r="A6" s="735" t="s">
        <v>268</v>
      </c>
      <c r="B6" s="294">
        <v>10</v>
      </c>
      <c r="C6" s="288"/>
      <c r="D6" s="736"/>
      <c r="E6" s="7"/>
      <c r="F6" s="7"/>
      <c r="G6" s="7"/>
      <c r="H6" s="7"/>
      <c r="J6" s="717" t="s">
        <v>7</v>
      </c>
      <c r="K6" s="718">
        <v>950000</v>
      </c>
      <c r="L6" s="722">
        <f t="shared" ref="L6:L8" si="0">K2*M6</f>
        <v>234606150</v>
      </c>
      <c r="M6" s="723">
        <v>225</v>
      </c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15">
      <c r="A7" s="737"/>
      <c r="B7" s="738"/>
      <c r="C7" s="738"/>
      <c r="D7" s="736"/>
      <c r="E7" s="7"/>
      <c r="F7" s="7"/>
      <c r="G7" s="7"/>
      <c r="H7" s="7"/>
      <c r="J7" s="717" t="s">
        <v>9</v>
      </c>
      <c r="K7" s="718">
        <v>120000</v>
      </c>
      <c r="L7" s="722">
        <f t="shared" si="0"/>
        <v>30262500</v>
      </c>
      <c r="M7" s="723">
        <v>225</v>
      </c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15">
      <c r="A8" s="739" t="s">
        <v>270</v>
      </c>
      <c r="B8" s="295"/>
      <c r="C8" s="296" t="s">
        <v>271</v>
      </c>
      <c r="D8" s="740" t="s">
        <v>272</v>
      </c>
      <c r="E8" s="7"/>
      <c r="F8" s="7"/>
      <c r="G8" s="7"/>
      <c r="H8" s="7"/>
      <c r="J8" s="717" t="s">
        <v>10</v>
      </c>
      <c r="K8" s="718">
        <v>285000</v>
      </c>
      <c r="L8" s="722">
        <f t="shared" si="0"/>
        <v>78237500</v>
      </c>
      <c r="M8" s="723">
        <v>275</v>
      </c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15">
      <c r="A9" s="739" t="s">
        <v>264</v>
      </c>
      <c r="B9" s="297">
        <f>-0.75*('Summary Board'!E37-'Summary Board'!E34-'Summary Board'!E35)</f>
        <v>22702221.216000002</v>
      </c>
      <c r="C9" s="298">
        <f>B9/B10*B12</f>
        <v>624311.08344000007</v>
      </c>
      <c r="D9" s="741">
        <f>-PMT(B12/12,B13*12,B9)*12</f>
        <v>2956545.0840095272</v>
      </c>
      <c r="E9" s="291">
        <f>D9</f>
        <v>2956545.0840095272</v>
      </c>
      <c r="F9" s="7"/>
      <c r="G9" s="7"/>
      <c r="H9" s="7"/>
      <c r="J9" s="721"/>
      <c r="K9" s="719"/>
      <c r="L9" s="724">
        <f>(L8+L7)/L6</f>
        <v>0.46247721980007772</v>
      </c>
      <c r="M9" s="720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thickBot="1" x14ac:dyDescent="0.2">
      <c r="A10" s="739" t="s">
        <v>275</v>
      </c>
      <c r="B10" s="299">
        <v>2</v>
      </c>
      <c r="C10" s="296" t="s">
        <v>276</v>
      </c>
      <c r="D10" s="740" t="s">
        <v>277</v>
      </c>
      <c r="E10" s="7"/>
      <c r="F10" s="7"/>
      <c r="G10" s="7"/>
      <c r="H10" s="7"/>
      <c r="J10" s="725"/>
      <c r="K10" s="726">
        <f t="shared" ref="K10:L10" si="1">SUM(K6:K8)</f>
        <v>1355000</v>
      </c>
      <c r="L10" s="726">
        <f t="shared" si="1"/>
        <v>343106150</v>
      </c>
      <c r="M10" s="727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15">
      <c r="A11" s="739"/>
      <c r="B11" s="299"/>
      <c r="C11" s="296"/>
      <c r="D11" s="740"/>
      <c r="E11" s="7"/>
      <c r="F11" s="7"/>
      <c r="G11" s="7"/>
      <c r="H11" s="7"/>
      <c r="I11" s="7"/>
      <c r="J11" s="7"/>
      <c r="K11" s="7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15">
      <c r="A12" s="739" t="s">
        <v>266</v>
      </c>
      <c r="B12" s="299">
        <v>5.5E-2</v>
      </c>
      <c r="C12" s="296"/>
      <c r="D12" s="740"/>
      <c r="E12" s="7"/>
      <c r="F12" s="7"/>
      <c r="G12" s="7"/>
      <c r="H12" s="7"/>
      <c r="I12" s="7"/>
      <c r="J12" s="7"/>
      <c r="K12" s="7"/>
      <c r="L12" s="302"/>
      <c r="M12" s="30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15">
      <c r="A13" s="739" t="s">
        <v>268</v>
      </c>
      <c r="B13" s="299">
        <v>10</v>
      </c>
      <c r="C13" s="296"/>
      <c r="D13" s="740"/>
      <c r="E13" s="7"/>
      <c r="F13" s="7"/>
      <c r="G13" s="7"/>
      <c r="H13" s="7"/>
      <c r="I13" s="7"/>
      <c r="J13" s="7"/>
      <c r="K13" s="7"/>
      <c r="L13" s="302"/>
      <c r="M13" s="30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15">
      <c r="A14" s="737"/>
      <c r="B14" s="738"/>
      <c r="C14" s="738"/>
      <c r="D14" s="736"/>
      <c r="E14" s="7"/>
      <c r="F14" s="7"/>
      <c r="G14" s="7"/>
      <c r="H14" s="7"/>
      <c r="I14" s="7"/>
      <c r="J14" s="7"/>
      <c r="K14" s="7"/>
      <c r="L14" s="302"/>
      <c r="M14" s="30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15">
      <c r="A15" s="739" t="s">
        <v>282</v>
      </c>
      <c r="B15" s="295"/>
      <c r="C15" s="296" t="s">
        <v>283</v>
      </c>
      <c r="D15" s="740" t="s">
        <v>272</v>
      </c>
      <c r="E15" s="7"/>
      <c r="F15" s="7"/>
      <c r="G15" s="7"/>
      <c r="H15" s="7"/>
      <c r="I15" s="7"/>
      <c r="J15" s="7"/>
      <c r="K15" s="7"/>
      <c r="L15" s="302"/>
      <c r="M15" s="30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15">
      <c r="A16" s="739" t="s">
        <v>264</v>
      </c>
      <c r="B16" s="297">
        <f>-0.75*(('Summary Board'!F37-'Summary Board'!F34-'Summary Board'!F35)+('Summary Board'!G37-'Summary Board'!G35-'Summary Board'!G34))</f>
        <v>46564860.7104</v>
      </c>
      <c r="C16" s="298">
        <f>B16/B17*B18</f>
        <v>1280533.6695360001</v>
      </c>
      <c r="D16" s="741">
        <f>-PMT(B18/12,B19*12,B16)*12</f>
        <v>6064213.219977526</v>
      </c>
      <c r="E16" s="291">
        <f>D16</f>
        <v>6064213.219977526</v>
      </c>
      <c r="F16" s="291">
        <f>E16</f>
        <v>6064213.219977526</v>
      </c>
      <c r="G16" s="7"/>
      <c r="H16" s="7"/>
      <c r="I16" s="7"/>
      <c r="J16" s="7"/>
      <c r="K16" s="7"/>
      <c r="L16" s="719"/>
      <c r="M16" s="719"/>
      <c r="N16" s="71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15">
      <c r="A17" s="739" t="s">
        <v>287</v>
      </c>
      <c r="B17" s="299">
        <v>2</v>
      </c>
      <c r="C17" s="296" t="s">
        <v>276</v>
      </c>
      <c r="D17" s="740" t="s">
        <v>277</v>
      </c>
      <c r="E17" s="7"/>
      <c r="F17" s="7"/>
      <c r="G17" s="7"/>
      <c r="H17" s="7"/>
      <c r="I17" s="7"/>
      <c r="J17" s="7"/>
      <c r="K17" s="7"/>
      <c r="L17" s="719"/>
      <c r="M17" s="719"/>
      <c r="N17" s="719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15">
      <c r="A18" s="739" t="s">
        <v>266</v>
      </c>
      <c r="B18" s="299">
        <v>5.5E-2</v>
      </c>
      <c r="C18" s="296"/>
      <c r="D18" s="740"/>
      <c r="E18" s="7"/>
      <c r="F18" s="7"/>
      <c r="G18" s="7"/>
      <c r="H18" s="7"/>
      <c r="I18" s="7"/>
      <c r="J18" s="7"/>
      <c r="K18" s="7"/>
      <c r="L18" s="719"/>
      <c r="M18" s="719"/>
      <c r="N18" s="719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15">
      <c r="A19" s="739" t="s">
        <v>268</v>
      </c>
      <c r="B19" s="299">
        <v>10</v>
      </c>
      <c r="C19" s="296"/>
      <c r="D19" s="740"/>
      <c r="E19" s="7"/>
      <c r="F19" s="7"/>
      <c r="G19" s="7"/>
      <c r="H19" s="7"/>
      <c r="I19" s="7"/>
      <c r="J19" s="7"/>
      <c r="K19" s="7"/>
      <c r="L19" s="719"/>
      <c r="M19" s="719"/>
      <c r="N19" s="719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15">
      <c r="A20" s="742"/>
      <c r="B20" s="743"/>
      <c r="C20" s="743"/>
      <c r="D20" s="744"/>
      <c r="E20" s="7"/>
      <c r="F20" s="7"/>
      <c r="G20" s="7"/>
      <c r="H20" s="7"/>
      <c r="I20" s="7"/>
      <c r="J20" s="7"/>
      <c r="K20" s="7"/>
      <c r="L20" s="719"/>
      <c r="M20" s="719"/>
      <c r="N20" s="719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15">
      <c r="A21" s="739" t="s">
        <v>292</v>
      </c>
      <c r="B21" s="295"/>
      <c r="C21" s="296" t="s">
        <v>293</v>
      </c>
      <c r="D21" s="740" t="s">
        <v>272</v>
      </c>
      <c r="E21" s="7"/>
      <c r="F21" s="7"/>
      <c r="G21" s="7"/>
      <c r="H21" s="7"/>
      <c r="I21" s="7"/>
      <c r="J21" s="7"/>
      <c r="K21" s="7"/>
      <c r="L21" s="719"/>
      <c r="M21" s="719"/>
      <c r="N21" s="719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15">
      <c r="A22" s="739" t="s">
        <v>264</v>
      </c>
      <c r="B22" s="297">
        <f>-0.75*('Summary Board'!H37+'Summary Board'!I37+'Summary Board'!J37)</f>
        <v>28817146.731743764</v>
      </c>
      <c r="C22" s="298">
        <f>B22/B23*B24</f>
        <v>528314.35674863565</v>
      </c>
      <c r="D22" s="741">
        <f>-PMT(B24/12,B25*12,B22)*12</f>
        <v>3752901.2114846194</v>
      </c>
      <c r="E22" s="291">
        <f>D22</f>
        <v>3752901.2114846194</v>
      </c>
      <c r="F22" s="291">
        <f>E22</f>
        <v>3752901.2114846194</v>
      </c>
      <c r="G22" s="291">
        <f>F22</f>
        <v>3752901.2114846194</v>
      </c>
      <c r="H22" s="291">
        <f>G22</f>
        <v>3752901.2114846194</v>
      </c>
      <c r="I22" s="7"/>
      <c r="J22" s="7"/>
      <c r="K22" s="7"/>
      <c r="L22" s="719"/>
      <c r="M22" s="719"/>
      <c r="N22" s="719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15">
      <c r="A23" s="739" t="s">
        <v>287</v>
      </c>
      <c r="B23" s="299">
        <v>3</v>
      </c>
      <c r="C23" s="296" t="s">
        <v>276</v>
      </c>
      <c r="D23" s="740" t="s">
        <v>277</v>
      </c>
      <c r="E23" s="7"/>
      <c r="F23" s="7"/>
      <c r="G23" s="7"/>
      <c r="H23" s="7"/>
      <c r="I23" s="7"/>
      <c r="J23" s="7"/>
      <c r="K23" s="7"/>
      <c r="L23" s="710"/>
      <c r="M23" s="710"/>
      <c r="N23" s="719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15">
      <c r="A24" s="739" t="s">
        <v>266</v>
      </c>
      <c r="B24" s="299">
        <v>5.5E-2</v>
      </c>
      <c r="C24" s="296"/>
      <c r="D24" s="740"/>
      <c r="E24" s="7"/>
      <c r="F24" s="7"/>
      <c r="G24" s="7"/>
      <c r="H24" s="7"/>
      <c r="I24" s="7"/>
      <c r="J24" s="7"/>
      <c r="K24" s="7"/>
      <c r="L24" s="729"/>
      <c r="M24" s="729"/>
      <c r="N24" s="719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15">
      <c r="A25" s="739" t="s">
        <v>268</v>
      </c>
      <c r="B25" s="299">
        <v>10</v>
      </c>
      <c r="C25" s="296"/>
      <c r="D25" s="740"/>
      <c r="E25" s="7"/>
      <c r="F25" s="7"/>
      <c r="G25" s="7"/>
      <c r="H25" s="7"/>
      <c r="I25" s="7"/>
      <c r="J25" s="7"/>
      <c r="K25" s="7"/>
      <c r="L25" s="702"/>
      <c r="M25" s="702"/>
      <c r="N25" s="719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15">
      <c r="A26" s="742"/>
      <c r="B26" s="743"/>
      <c r="C26" s="743"/>
      <c r="D26" s="744"/>
      <c r="E26" s="7"/>
      <c r="F26" s="7"/>
      <c r="G26" s="7"/>
      <c r="H26" s="7"/>
      <c r="I26" s="7"/>
      <c r="J26" s="7"/>
      <c r="K26" s="7"/>
      <c r="L26" s="729"/>
      <c r="M26" s="729"/>
      <c r="N26" s="719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15">
      <c r="A27" s="739" t="s">
        <v>299</v>
      </c>
      <c r="B27" s="295"/>
      <c r="C27" s="296" t="s">
        <v>293</v>
      </c>
      <c r="D27" s="740" t="s">
        <v>272</v>
      </c>
      <c r="E27" s="7"/>
      <c r="F27" s="7"/>
      <c r="G27" s="7"/>
      <c r="H27" s="7"/>
      <c r="I27" s="7"/>
      <c r="J27" s="7"/>
      <c r="K27" s="7"/>
      <c r="L27" s="702"/>
      <c r="M27" s="702"/>
      <c r="N27" s="719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15">
      <c r="A28" s="739" t="s">
        <v>264</v>
      </c>
      <c r="B28" s="297">
        <f>-0.75*('Summary Board'!K39+'Summary Board'!L39+'Summary Board'!M39+'Summary Board'!N39)</f>
        <v>40667452.746563181</v>
      </c>
      <c r="C28" s="298">
        <f>B28/B29*B30</f>
        <v>559177.47526524379</v>
      </c>
      <c r="D28" s="741">
        <f>-PMT(B30/12,B31*12,B28)*12</f>
        <v>5296184.7368618771</v>
      </c>
      <c r="E28" s="291">
        <f>D28</f>
        <v>5296184.7368618771</v>
      </c>
      <c r="F28" s="291">
        <f>E28</f>
        <v>5296184.7368618771</v>
      </c>
      <c r="G28" s="291">
        <f>F28</f>
        <v>5296184.7368618771</v>
      </c>
      <c r="H28" s="291">
        <f>G28</f>
        <v>5296184.7368618771</v>
      </c>
      <c r="I28" s="291">
        <f>H28</f>
        <v>5296184.7368618771</v>
      </c>
      <c r="J28" s="291">
        <f>I28</f>
        <v>5296184.7368618771</v>
      </c>
      <c r="K28" s="291">
        <f>J28</f>
        <v>5296184.7368618771</v>
      </c>
      <c r="L28" s="729"/>
      <c r="M28" s="729"/>
      <c r="N28" s="719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15">
      <c r="A29" s="739" t="s">
        <v>287</v>
      </c>
      <c r="B29" s="299">
        <v>4</v>
      </c>
      <c r="C29" s="296" t="s">
        <v>276</v>
      </c>
      <c r="D29" s="740" t="s">
        <v>277</v>
      </c>
      <c r="E29" s="7"/>
      <c r="F29" s="7"/>
      <c r="G29" s="7"/>
      <c r="H29" s="7"/>
      <c r="I29" s="7"/>
      <c r="J29" s="7"/>
      <c r="K29" s="7"/>
      <c r="L29" s="702"/>
      <c r="M29" s="702"/>
      <c r="N29" s="719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15">
      <c r="A30" s="739" t="s">
        <v>266</v>
      </c>
      <c r="B30" s="299">
        <v>5.5E-2</v>
      </c>
      <c r="C30" s="296"/>
      <c r="D30" s="740"/>
      <c r="E30" s="7"/>
      <c r="F30" s="7"/>
      <c r="G30" s="7"/>
      <c r="H30" s="7"/>
      <c r="I30" s="7"/>
      <c r="J30" s="7"/>
      <c r="K30" s="7"/>
      <c r="L30" s="729"/>
      <c r="M30" s="729"/>
      <c r="N30" s="719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15">
      <c r="A31" s="739" t="s">
        <v>268</v>
      </c>
      <c r="B31" s="299">
        <v>10</v>
      </c>
      <c r="C31" s="296"/>
      <c r="D31" s="740"/>
      <c r="E31" s="7"/>
      <c r="F31" s="7"/>
      <c r="G31" s="7"/>
      <c r="H31" s="7"/>
      <c r="I31" s="7"/>
      <c r="J31" s="7"/>
      <c r="K31" s="7"/>
      <c r="L31" s="702"/>
      <c r="M31" s="702"/>
      <c r="N31" s="719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15">
      <c r="A32" s="745"/>
      <c r="B32" s="746"/>
      <c r="C32" s="746"/>
      <c r="D32" s="747"/>
      <c r="E32" s="7"/>
      <c r="F32" s="7"/>
      <c r="G32" s="7"/>
      <c r="H32" s="7"/>
      <c r="I32" s="7"/>
      <c r="J32" s="7"/>
      <c r="K32" s="7"/>
      <c r="L32" s="729"/>
      <c r="M32" s="729"/>
      <c r="N32" s="719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15">
      <c r="A33" s="748" t="s">
        <v>300</v>
      </c>
      <c r="B33" s="306"/>
      <c r="C33" s="308"/>
      <c r="D33" s="749"/>
      <c r="E33" s="7"/>
      <c r="F33" s="7"/>
      <c r="G33" s="7"/>
      <c r="H33" s="7"/>
      <c r="I33" s="7"/>
      <c r="J33" s="7"/>
      <c r="K33" s="7"/>
      <c r="L33" s="702"/>
      <c r="M33" s="702"/>
      <c r="N33" s="719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15">
      <c r="A34" s="748" t="s">
        <v>264</v>
      </c>
      <c r="B34" s="311">
        <f>'Summary Board'!K91</f>
        <v>84647413.748516396</v>
      </c>
      <c r="C34" s="313">
        <f>-PMT(B36/12,Financing!B37*12,B34)*12</f>
        <v>11533851.129660787</v>
      </c>
      <c r="D34" s="744"/>
      <c r="E34" s="291">
        <f>C34</f>
        <v>11533851.129660787</v>
      </c>
      <c r="F34" s="291">
        <f>E34</f>
        <v>11533851.129660787</v>
      </c>
      <c r="G34" s="291">
        <f>E34</f>
        <v>11533851.129660787</v>
      </c>
      <c r="H34" s="291">
        <f>F34</f>
        <v>11533851.129660787</v>
      </c>
      <c r="I34" s="7"/>
      <c r="J34" s="7"/>
      <c r="K34" s="7"/>
      <c r="L34" s="729"/>
      <c r="M34" s="729"/>
      <c r="N34" s="71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15">
      <c r="A35" s="748" t="s">
        <v>301</v>
      </c>
      <c r="B35" s="306"/>
      <c r="C35" s="308"/>
      <c r="D35" s="744"/>
      <c r="E35" s="7"/>
      <c r="F35" s="7"/>
      <c r="G35" s="7"/>
      <c r="H35" s="7"/>
      <c r="I35" s="7"/>
      <c r="J35" s="7"/>
      <c r="K35" s="7"/>
      <c r="L35" s="702"/>
      <c r="M35" s="702"/>
      <c r="N35" s="71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15">
      <c r="A36" s="748" t="s">
        <v>266</v>
      </c>
      <c r="B36" s="316">
        <v>6.5000000000000002E-2</v>
      </c>
      <c r="C36" s="308"/>
      <c r="D36" s="774"/>
      <c r="E36" s="699"/>
      <c r="F36" s="699"/>
      <c r="G36" s="699"/>
      <c r="H36" s="699"/>
      <c r="I36" s="699"/>
      <c r="J36" s="699"/>
      <c r="K36" s="699"/>
      <c r="L36" s="700"/>
      <c r="M36" s="700"/>
      <c r="N36" s="700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thickBot="1" x14ac:dyDescent="0.2">
      <c r="A37" s="750" t="s">
        <v>268</v>
      </c>
      <c r="B37" s="751">
        <v>10</v>
      </c>
      <c r="C37" s="752"/>
      <c r="D37" s="775"/>
      <c r="E37" s="731"/>
      <c r="F37" s="730"/>
      <c r="G37" s="731"/>
      <c r="H37" s="731"/>
      <c r="I37" s="731"/>
      <c r="J37" s="730"/>
      <c r="K37" s="731"/>
      <c r="L37" s="731"/>
      <c r="M37" s="731"/>
      <c r="N37" s="700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thickBot="1" x14ac:dyDescent="0.2">
      <c r="A38" s="743"/>
      <c r="B38" s="753"/>
      <c r="C38" s="753"/>
      <c r="D38" s="754"/>
      <c r="E38" s="754"/>
      <c r="F38" s="754"/>
      <c r="G38" s="754"/>
      <c r="H38" s="754"/>
      <c r="I38" s="754"/>
      <c r="J38" s="754"/>
      <c r="K38" s="754"/>
      <c r="L38" s="754"/>
      <c r="M38" s="754"/>
      <c r="N38" s="700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15">
      <c r="A39" s="732" t="s">
        <v>23</v>
      </c>
      <c r="B39" s="755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6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15">
      <c r="A40" s="757"/>
      <c r="B40" s="719"/>
      <c r="C40" s="719"/>
      <c r="D40" s="719"/>
      <c r="E40" s="719"/>
      <c r="F40" s="719"/>
      <c r="G40" s="719"/>
      <c r="H40" s="719"/>
      <c r="I40" s="719"/>
      <c r="J40" s="719"/>
      <c r="K40" s="719"/>
      <c r="L40" s="719"/>
      <c r="M40" s="720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15">
      <c r="A41" s="721"/>
      <c r="B41" s="758"/>
      <c r="C41" s="758" t="s">
        <v>18</v>
      </c>
      <c r="D41" s="23" t="s">
        <v>19</v>
      </c>
      <c r="E41" s="24"/>
      <c r="F41" s="26" t="s">
        <v>20</v>
      </c>
      <c r="G41" s="19"/>
      <c r="H41" s="19"/>
      <c r="I41" s="19"/>
      <c r="J41" s="20" t="s">
        <v>21</v>
      </c>
      <c r="K41" s="21"/>
      <c r="L41" s="21"/>
      <c r="M41" s="759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15">
      <c r="A42" s="760" t="s">
        <v>23</v>
      </c>
      <c r="B42" s="27" t="s">
        <v>25</v>
      </c>
      <c r="C42" s="27" t="s">
        <v>24</v>
      </c>
      <c r="D42" s="28">
        <v>2019</v>
      </c>
      <c r="E42" s="30">
        <f t="shared" ref="E42:M42" si="2">D42+1</f>
        <v>2020</v>
      </c>
      <c r="F42" s="30">
        <f t="shared" si="2"/>
        <v>2021</v>
      </c>
      <c r="G42" s="31">
        <f t="shared" si="2"/>
        <v>2022</v>
      </c>
      <c r="H42" s="31">
        <f t="shared" si="2"/>
        <v>2023</v>
      </c>
      <c r="I42" s="31">
        <f t="shared" si="2"/>
        <v>2024</v>
      </c>
      <c r="J42" s="33">
        <f t="shared" si="2"/>
        <v>2025</v>
      </c>
      <c r="K42" s="33">
        <f t="shared" si="2"/>
        <v>2026</v>
      </c>
      <c r="L42" s="33">
        <f t="shared" si="2"/>
        <v>2027</v>
      </c>
      <c r="M42" s="761">
        <f t="shared" si="2"/>
        <v>2028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15">
      <c r="A43" s="762" t="s">
        <v>29</v>
      </c>
      <c r="B43" s="763"/>
      <c r="C43" s="758"/>
      <c r="D43" s="37"/>
      <c r="E43" s="39"/>
      <c r="F43" s="40">
        <f>'5. Affordable Rental Apartments'!G21</f>
        <v>-1372659.6174060002</v>
      </c>
      <c r="G43" s="42">
        <f>'5. Affordable Rental Apartments'!H21</f>
        <v>0</v>
      </c>
      <c r="H43" s="42">
        <f>'5. Affordable Rental Apartments'!I21</f>
        <v>0</v>
      </c>
      <c r="I43" s="42">
        <f>'5. Affordable Rental Apartments'!J21</f>
        <v>-1696079.6440816531</v>
      </c>
      <c r="J43" s="42">
        <f>'5. Affordable Rental Apartments'!K21</f>
        <v>0</v>
      </c>
      <c r="K43" s="43"/>
      <c r="L43" s="43"/>
      <c r="M43" s="76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15">
      <c r="A44" s="762" t="s">
        <v>35</v>
      </c>
      <c r="B44" s="763"/>
      <c r="C44" s="44"/>
      <c r="D44" s="45"/>
      <c r="E44" s="46"/>
      <c r="F44" s="40">
        <f t="shared" ref="F44:J44" si="3">F43</f>
        <v>-1372659.6174060002</v>
      </c>
      <c r="G44" s="42">
        <f t="shared" si="3"/>
        <v>0</v>
      </c>
      <c r="H44" s="42">
        <f t="shared" si="3"/>
        <v>0</v>
      </c>
      <c r="I44" s="42">
        <f t="shared" si="3"/>
        <v>-1696079.6440816531</v>
      </c>
      <c r="J44" s="42">
        <f t="shared" si="3"/>
        <v>0</v>
      </c>
      <c r="K44" s="47"/>
      <c r="L44" s="47"/>
      <c r="M44" s="765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15">
      <c r="A45" s="762" t="s">
        <v>36</v>
      </c>
      <c r="B45" s="763"/>
      <c r="C45" s="719"/>
      <c r="D45" s="37"/>
      <c r="E45" s="39"/>
      <c r="F45" s="48">
        <v>0.2</v>
      </c>
      <c r="G45" s="49">
        <v>0.2</v>
      </c>
      <c r="H45" s="49">
        <v>0.2</v>
      </c>
      <c r="I45" s="49">
        <v>0.2</v>
      </c>
      <c r="J45" s="49">
        <v>0.2</v>
      </c>
      <c r="K45" s="43"/>
      <c r="L45" s="43"/>
      <c r="M45" s="76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15">
      <c r="A46" s="762" t="s">
        <v>37</v>
      </c>
      <c r="B46" s="763"/>
      <c r="C46" s="719"/>
      <c r="D46" s="50"/>
      <c r="E46" s="46"/>
      <c r="F46" s="40">
        <f t="shared" ref="F46:J46" si="4">F45*F44</f>
        <v>-274531.92348120006</v>
      </c>
      <c r="G46" s="42">
        <f t="shared" si="4"/>
        <v>0</v>
      </c>
      <c r="H46" s="42">
        <f t="shared" si="4"/>
        <v>0</v>
      </c>
      <c r="I46" s="42">
        <f t="shared" si="4"/>
        <v>-339215.92881633062</v>
      </c>
      <c r="J46" s="42">
        <f t="shared" si="4"/>
        <v>0</v>
      </c>
      <c r="K46" s="47"/>
      <c r="L46" s="47"/>
      <c r="M46" s="765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15">
      <c r="A47" s="762" t="s">
        <v>39</v>
      </c>
      <c r="B47" s="763"/>
      <c r="C47" s="719"/>
      <c r="D47" s="37"/>
      <c r="E47" s="39"/>
      <c r="F47" s="57">
        <f t="shared" ref="F47:J47" si="5">0.09*F46</f>
        <v>-24707.873113308004</v>
      </c>
      <c r="G47" s="58">
        <f t="shared" si="5"/>
        <v>0</v>
      </c>
      <c r="H47" s="58">
        <f t="shared" si="5"/>
        <v>0</v>
      </c>
      <c r="I47" s="58">
        <f t="shared" si="5"/>
        <v>-30529.433593469756</v>
      </c>
      <c r="J47" s="58">
        <f t="shared" si="5"/>
        <v>0</v>
      </c>
      <c r="K47" s="43"/>
      <c r="L47" s="43"/>
      <c r="M47" s="764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15">
      <c r="A48" s="762" t="s">
        <v>46</v>
      </c>
      <c r="B48" s="763"/>
      <c r="C48" s="719"/>
      <c r="D48" s="50"/>
      <c r="E48" s="46"/>
      <c r="F48" s="57">
        <f t="shared" ref="F48:J48" si="6">10*F47</f>
        <v>-247078.73113308003</v>
      </c>
      <c r="G48" s="58">
        <f t="shared" si="6"/>
        <v>0</v>
      </c>
      <c r="H48" s="58">
        <f t="shared" si="6"/>
        <v>0</v>
      </c>
      <c r="I48" s="58">
        <f t="shared" si="6"/>
        <v>-305294.33593469753</v>
      </c>
      <c r="J48" s="58">
        <f t="shared" si="6"/>
        <v>0</v>
      </c>
      <c r="K48" s="47"/>
      <c r="L48" s="47"/>
      <c r="M48" s="765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15">
      <c r="A49" s="762" t="s">
        <v>47</v>
      </c>
      <c r="B49" s="763"/>
      <c r="C49" s="719"/>
      <c r="D49" s="37"/>
      <c r="E49" s="39"/>
      <c r="F49" s="39">
        <v>0.91</v>
      </c>
      <c r="G49" s="61">
        <v>0.91</v>
      </c>
      <c r="H49" s="61">
        <v>0.91</v>
      </c>
      <c r="I49" s="61">
        <v>0.91</v>
      </c>
      <c r="J49" s="61">
        <v>0.91</v>
      </c>
      <c r="K49" s="43"/>
      <c r="L49" s="43"/>
      <c r="M49" s="764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15">
      <c r="A50" s="762" t="s">
        <v>49</v>
      </c>
      <c r="B50" s="763"/>
      <c r="C50" s="719"/>
      <c r="D50" s="37"/>
      <c r="E50" s="39"/>
      <c r="F50" s="57">
        <f t="shared" ref="F50:J50" si="7">F49*F48</f>
        <v>-224841.64533110283</v>
      </c>
      <c r="G50" s="58">
        <f t="shared" si="7"/>
        <v>0</v>
      </c>
      <c r="H50" s="58">
        <f t="shared" si="7"/>
        <v>0</v>
      </c>
      <c r="I50" s="58">
        <f t="shared" si="7"/>
        <v>-277817.84570057475</v>
      </c>
      <c r="J50" s="58">
        <f t="shared" si="7"/>
        <v>0</v>
      </c>
      <c r="K50" s="47"/>
      <c r="L50" s="47"/>
      <c r="M50" s="765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thickBot="1" x14ac:dyDescent="0.2">
      <c r="A51" s="766" t="s">
        <v>50</v>
      </c>
      <c r="B51" s="767">
        <f>SUM(C50:J50)</f>
        <v>-502659.49103167758</v>
      </c>
      <c r="C51" s="768"/>
      <c r="D51" s="769"/>
      <c r="E51" s="770"/>
      <c r="F51" s="770"/>
      <c r="G51" s="771"/>
      <c r="H51" s="771"/>
      <c r="I51" s="771"/>
      <c r="J51" s="771"/>
      <c r="K51" s="772"/>
      <c r="L51" s="772"/>
      <c r="M51" s="773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15">
      <c r="A52" s="51"/>
      <c r="B52" s="2"/>
      <c r="C52" s="700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0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15">
      <c r="A53" s="1"/>
      <c r="B53" s="2"/>
      <c r="C53" s="700"/>
      <c r="D53" s="728"/>
      <c r="E53" s="728"/>
      <c r="F53" s="728"/>
      <c r="G53" s="728"/>
      <c r="H53" s="728"/>
      <c r="I53" s="728"/>
      <c r="J53" s="728"/>
      <c r="K53" s="728"/>
      <c r="L53" s="728"/>
      <c r="M53" s="728"/>
      <c r="N53" s="700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thickBot="1" x14ac:dyDescent="0.2">
      <c r="A54" s="67"/>
      <c r="B54" s="2"/>
      <c r="C54" s="700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0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15">
      <c r="A55" s="732" t="s">
        <v>328</v>
      </c>
      <c r="B55" s="732"/>
      <c r="C55" s="700"/>
      <c r="D55" s="728"/>
      <c r="E55" s="728"/>
      <c r="F55" s="728"/>
      <c r="G55" s="728"/>
      <c r="H55" s="728"/>
      <c r="I55" s="728"/>
      <c r="J55" s="728"/>
      <c r="K55" s="728"/>
      <c r="L55" s="728"/>
      <c r="M55" s="728"/>
      <c r="N55" s="700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15">
      <c r="A56" s="7" t="s">
        <v>329</v>
      </c>
      <c r="B56" s="436">
        <v>30800</v>
      </c>
      <c r="C56" s="700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0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15">
      <c r="A57" s="7" t="s">
        <v>330</v>
      </c>
      <c r="B57" s="7">
        <f>0.33*B56</f>
        <v>10164</v>
      </c>
      <c r="C57" s="700"/>
      <c r="D57" s="728"/>
      <c r="E57" s="728"/>
      <c r="F57" s="728"/>
      <c r="G57" s="728"/>
      <c r="H57" s="728"/>
      <c r="I57" s="728"/>
      <c r="J57" s="728"/>
      <c r="K57" s="728"/>
      <c r="L57" s="728"/>
      <c r="M57" s="728"/>
      <c r="N57" s="700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15">
      <c r="A58" s="7" t="s">
        <v>331</v>
      </c>
      <c r="B58" s="7">
        <f>B57/12</f>
        <v>847</v>
      </c>
      <c r="C58" s="700"/>
      <c r="D58" s="728"/>
      <c r="E58" s="702"/>
      <c r="F58" s="702"/>
      <c r="G58" s="702"/>
      <c r="H58" s="702"/>
      <c r="I58" s="702"/>
      <c r="J58" s="702"/>
      <c r="K58" s="702"/>
      <c r="L58" s="702"/>
      <c r="M58" s="702"/>
      <c r="N58" s="700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15">
      <c r="A59" s="7" t="s">
        <v>340</v>
      </c>
      <c r="B59" s="7">
        <f>B58/B60</f>
        <v>1.0587500000000001</v>
      </c>
      <c r="C59" s="700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0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15">
      <c r="A60" s="4" t="s">
        <v>303</v>
      </c>
      <c r="B60" s="4">
        <v>800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00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15">
      <c r="A61" s="4" t="s">
        <v>132</v>
      </c>
      <c r="B61" s="437">
        <v>0.5</v>
      </c>
      <c r="C61" s="712"/>
      <c r="D61" s="712"/>
      <c r="E61" s="712"/>
      <c r="F61" s="712"/>
      <c r="G61" s="712"/>
      <c r="H61" s="712"/>
      <c r="I61" s="712"/>
      <c r="J61" s="712"/>
      <c r="K61" s="712"/>
      <c r="L61" s="712"/>
      <c r="M61" s="712"/>
      <c r="N61" s="700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15">
      <c r="A62" s="4" t="s">
        <v>55</v>
      </c>
      <c r="B62" s="439">
        <v>105</v>
      </c>
      <c r="C62" s="712"/>
      <c r="D62" s="712"/>
      <c r="E62" s="712"/>
      <c r="F62" s="712"/>
      <c r="G62" s="712"/>
      <c r="H62" s="712"/>
      <c r="I62" s="712"/>
      <c r="J62" s="712"/>
      <c r="K62" s="712"/>
      <c r="L62" s="712"/>
      <c r="M62" s="712"/>
      <c r="N62" s="712"/>
      <c r="U62" s="2"/>
      <c r="V62" s="2"/>
      <c r="W62" s="2"/>
      <c r="X62" s="2"/>
      <c r="Y62" s="2"/>
      <c r="Z62" s="2"/>
    </row>
    <row r="63" spans="1:26" ht="12.75" customHeight="1" x14ac:dyDescent="0.15">
      <c r="A63" s="4" t="s">
        <v>56</v>
      </c>
      <c r="B63" s="440">
        <v>0.2</v>
      </c>
      <c r="C63" s="712"/>
      <c r="D63" s="712"/>
      <c r="E63" s="712"/>
      <c r="F63" s="712"/>
      <c r="G63" s="712"/>
      <c r="H63" s="712"/>
      <c r="I63" s="712"/>
      <c r="J63" s="712"/>
      <c r="K63" s="712"/>
      <c r="L63" s="712"/>
      <c r="M63" s="712"/>
      <c r="N63" s="712"/>
      <c r="U63" s="2"/>
      <c r="V63" s="2"/>
      <c r="W63" s="2"/>
      <c r="X63" s="2"/>
      <c r="Y63" s="2"/>
      <c r="Z63" s="2"/>
    </row>
    <row r="64" spans="1:26" ht="12.75" customHeight="1" x14ac:dyDescent="0.15">
      <c r="A64" s="4" t="s">
        <v>61</v>
      </c>
      <c r="B64" s="440">
        <v>0.06</v>
      </c>
      <c r="C64" s="712"/>
      <c r="D64" s="712"/>
      <c r="E64" s="712"/>
      <c r="F64" s="712"/>
      <c r="G64" s="712"/>
      <c r="H64" s="712"/>
      <c r="I64" s="712"/>
      <c r="J64" s="712"/>
      <c r="K64" s="712"/>
      <c r="L64" s="712"/>
      <c r="M64" s="712"/>
      <c r="N64" s="712"/>
      <c r="U64" s="2"/>
      <c r="V64" s="2"/>
      <c r="W64" s="2"/>
      <c r="X64" s="2"/>
      <c r="Y64" s="2"/>
      <c r="Z64" s="2"/>
    </row>
    <row r="65" spans="1:26" ht="12.75" customHeight="1" x14ac:dyDescent="0.15">
      <c r="A65" s="7"/>
      <c r="B65" s="7"/>
      <c r="C65" s="712"/>
      <c r="D65" s="712"/>
      <c r="E65" s="712"/>
      <c r="F65" s="712"/>
      <c r="G65" s="712"/>
      <c r="H65" s="712"/>
      <c r="I65" s="712"/>
      <c r="J65" s="712"/>
      <c r="K65" s="712"/>
      <c r="L65" s="712"/>
      <c r="M65" s="712"/>
      <c r="N65" s="712"/>
      <c r="U65" s="2"/>
      <c r="V65" s="2"/>
      <c r="W65" s="2"/>
      <c r="X65" s="2"/>
      <c r="Y65" s="2"/>
      <c r="Z65" s="2"/>
    </row>
    <row r="66" spans="1:26" ht="12.75" customHeight="1" x14ac:dyDescent="0.15">
      <c r="A66" s="7"/>
      <c r="B66" s="7"/>
      <c r="U66" s="2"/>
      <c r="V66" s="2"/>
      <c r="W66" s="2"/>
      <c r="X66" s="2"/>
      <c r="Y66" s="2"/>
      <c r="Z66" s="2"/>
    </row>
    <row r="67" spans="1:26" ht="12.75" customHeight="1" x14ac:dyDescent="0.15">
      <c r="A67" s="2"/>
      <c r="B67" s="2"/>
      <c r="U67" s="2"/>
      <c r="V67" s="2"/>
      <c r="W67" s="2"/>
      <c r="X67" s="2"/>
      <c r="Y67" s="2"/>
      <c r="Z67" s="2"/>
    </row>
    <row r="68" spans="1:26" ht="12.75" customHeight="1" x14ac:dyDescent="0.15">
      <c r="U68" s="2"/>
      <c r="V68" s="2"/>
      <c r="W68" s="2"/>
      <c r="X68" s="2"/>
      <c r="Y68" s="2"/>
      <c r="Z68" s="2"/>
    </row>
    <row r="69" spans="1:26" ht="12.75" customHeight="1" x14ac:dyDescent="0.15">
      <c r="U69" s="2"/>
      <c r="V69" s="2"/>
      <c r="W69" s="2"/>
      <c r="X69" s="2"/>
      <c r="Y69" s="2"/>
      <c r="Z69" s="2"/>
    </row>
    <row r="70" spans="1:26" ht="12.75" customHeight="1" x14ac:dyDescent="0.15">
      <c r="U70" s="2"/>
      <c r="V70" s="2"/>
      <c r="W70" s="2"/>
      <c r="X70" s="2"/>
      <c r="Y70" s="2"/>
      <c r="Z70" s="2"/>
    </row>
    <row r="71" spans="1:26" ht="12.75" customHeight="1" x14ac:dyDescent="0.15">
      <c r="U71" s="2"/>
      <c r="V71" s="2"/>
      <c r="W71" s="2"/>
      <c r="X71" s="2"/>
      <c r="Y71" s="2"/>
      <c r="Z71" s="2"/>
    </row>
    <row r="72" spans="1:26" ht="12.75" customHeight="1" x14ac:dyDescent="0.15">
      <c r="U72" s="2"/>
      <c r="V72" s="2"/>
      <c r="W72" s="2"/>
      <c r="X72" s="2"/>
      <c r="Y72" s="2"/>
      <c r="Z72" s="2"/>
    </row>
    <row r="73" spans="1:26" ht="12.75" customHeight="1" x14ac:dyDescent="0.15">
      <c r="U73" s="2"/>
      <c r="V73" s="2"/>
      <c r="W73" s="2"/>
      <c r="X73" s="2"/>
      <c r="Y73" s="2"/>
      <c r="Z73" s="2"/>
    </row>
    <row r="74" spans="1:26" ht="12.75" customHeight="1" x14ac:dyDescent="0.15">
      <c r="U74" s="2"/>
      <c r="V74" s="2"/>
      <c r="W74" s="2"/>
      <c r="X74" s="2"/>
      <c r="Y74" s="2"/>
      <c r="Z74" s="2"/>
    </row>
    <row r="75" spans="1:26" ht="12.75" customHeight="1" x14ac:dyDescent="0.15">
      <c r="U75" s="2"/>
      <c r="V75" s="2"/>
      <c r="W75" s="2"/>
      <c r="X75" s="2"/>
      <c r="Y75" s="2"/>
      <c r="Z75" s="2"/>
    </row>
    <row r="76" spans="1:26" ht="12.75" customHeight="1" x14ac:dyDescent="0.15"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15"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15"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15"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15"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15"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15"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15"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15"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15"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15"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15"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15"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15"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15"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15"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15"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15"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15"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15"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honeticPr fontId="24" type="noConversion"/>
  <pageMargins left="0.7" right="0.7" top="0.75" bottom="0.75" header="0.3" footer="0.3"/>
  <pageSetup paperSize="3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34" sqref="D33:D34"/>
    </sheetView>
  </sheetViews>
  <sheetFormatPr baseColWidth="10" defaultColWidth="17.33203125" defaultRowHeight="15" customHeight="1" x14ac:dyDescent="0.15"/>
  <cols>
    <col min="1" max="1" width="27.33203125" customWidth="1"/>
    <col min="2" max="3" width="8.5" customWidth="1"/>
    <col min="4" max="4" width="12.5" customWidth="1"/>
    <col min="5" max="6" width="8.5" customWidth="1"/>
    <col min="7" max="7" width="11.1640625" customWidth="1"/>
    <col min="8" max="8" width="8.5" customWidth="1"/>
    <col min="9" max="10" width="9" customWidth="1"/>
    <col min="11" max="11" width="8.5" customWidth="1"/>
    <col min="12" max="12" width="11.1640625" customWidth="1"/>
    <col min="13" max="13" width="12" customWidth="1"/>
    <col min="14" max="14" width="20.5" customWidth="1"/>
    <col min="15" max="15" width="15.5" customWidth="1"/>
    <col min="16" max="16" width="20" customWidth="1"/>
    <col min="17" max="23" width="9.1640625" customWidth="1"/>
    <col min="24" max="26" width="10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271" t="s">
        <v>3</v>
      </c>
      <c r="M1" s="272">
        <v>176272</v>
      </c>
      <c r="N1" s="7"/>
      <c r="O1" s="7"/>
      <c r="P1" s="109"/>
      <c r="Q1" s="109"/>
      <c r="R1" s="109"/>
      <c r="S1" s="2"/>
      <c r="T1" s="109"/>
      <c r="U1" s="7"/>
      <c r="V1" s="7"/>
      <c r="W1" s="2"/>
      <c r="X1" s="2"/>
      <c r="Y1" s="2"/>
      <c r="Z1" s="2"/>
    </row>
    <row r="2" spans="1:26" ht="13.5" customHeight="1" x14ac:dyDescent="0.15">
      <c r="A2" s="11" t="s">
        <v>77</v>
      </c>
      <c r="B2" s="16"/>
      <c r="C2" s="16"/>
      <c r="D2" s="7"/>
      <c r="E2" s="7"/>
      <c r="F2" s="7"/>
      <c r="G2" s="7"/>
      <c r="H2" s="7"/>
      <c r="I2" s="7"/>
      <c r="J2" s="7"/>
      <c r="K2" s="7"/>
      <c r="L2" s="548"/>
      <c r="M2" s="250"/>
      <c r="N2" s="7"/>
      <c r="O2" s="7"/>
      <c r="P2" s="109"/>
      <c r="Q2" s="109"/>
      <c r="R2" s="109"/>
      <c r="S2" s="2"/>
      <c r="T2" s="109"/>
      <c r="U2" s="7"/>
      <c r="V2" s="7"/>
      <c r="W2" s="2"/>
      <c r="X2" s="2"/>
      <c r="Y2" s="2"/>
      <c r="Z2" s="2"/>
    </row>
    <row r="3" spans="1:26" ht="13.5" customHeight="1" x14ac:dyDescent="0.15">
      <c r="A3" s="7"/>
      <c r="B3" s="16"/>
      <c r="C3" s="16" t="s">
        <v>18</v>
      </c>
      <c r="D3" s="15" t="s">
        <v>19</v>
      </c>
      <c r="E3" s="17" t="s">
        <v>20</v>
      </c>
      <c r="F3" s="17"/>
      <c r="G3" s="18" t="s">
        <v>21</v>
      </c>
      <c r="H3" s="19"/>
      <c r="I3" s="18"/>
      <c r="J3" s="20" t="s">
        <v>22</v>
      </c>
      <c r="K3" s="21"/>
      <c r="L3" s="21"/>
      <c r="M3" s="21"/>
      <c r="N3" s="7"/>
      <c r="O3" s="7"/>
      <c r="P3" s="109"/>
      <c r="Q3" s="109"/>
      <c r="R3" s="109"/>
      <c r="S3" s="2"/>
      <c r="T3" s="109"/>
      <c r="U3" s="7"/>
      <c r="V3" s="7"/>
      <c r="W3" s="2"/>
      <c r="X3" s="2"/>
      <c r="Y3" s="2"/>
      <c r="Z3" s="2"/>
    </row>
    <row r="4" spans="1:26" ht="13.5" customHeight="1" x14ac:dyDescent="0.15">
      <c r="A4" s="86"/>
      <c r="B4" s="27" t="s">
        <v>25</v>
      </c>
      <c r="C4" s="27" t="s">
        <v>24</v>
      </c>
      <c r="D4" s="470">
        <v>2019</v>
      </c>
      <c r="E4" s="29">
        <f t="shared" ref="E4:M4" si="0">D4+1</f>
        <v>2020</v>
      </c>
      <c r="F4" s="29">
        <f t="shared" si="0"/>
        <v>2021</v>
      </c>
      <c r="G4" s="31">
        <f t="shared" si="0"/>
        <v>2022</v>
      </c>
      <c r="H4" s="31">
        <f t="shared" si="0"/>
        <v>2023</v>
      </c>
      <c r="I4" s="31">
        <f t="shared" si="0"/>
        <v>2024</v>
      </c>
      <c r="J4" s="33">
        <f t="shared" si="0"/>
        <v>2025</v>
      </c>
      <c r="K4" s="33">
        <f t="shared" si="0"/>
        <v>2026</v>
      </c>
      <c r="L4" s="33">
        <f t="shared" si="0"/>
        <v>2027</v>
      </c>
      <c r="M4" s="33">
        <f t="shared" si="0"/>
        <v>2028</v>
      </c>
      <c r="N4" s="7"/>
      <c r="O4" s="7"/>
      <c r="P4" s="109"/>
      <c r="Q4" s="7"/>
      <c r="R4" s="7"/>
      <c r="S4" s="2"/>
      <c r="T4" s="109"/>
      <c r="U4" s="7"/>
      <c r="V4" s="7"/>
      <c r="W4" s="2"/>
      <c r="X4" s="2"/>
      <c r="Y4" s="2"/>
      <c r="Z4" s="2"/>
    </row>
    <row r="5" spans="1:26" ht="18" customHeight="1" x14ac:dyDescent="0.15">
      <c r="A5" s="92" t="s">
        <v>302</v>
      </c>
      <c r="B5" s="16"/>
      <c r="C5" s="16"/>
      <c r="D5" s="222"/>
      <c r="E5" s="224"/>
      <c r="F5" s="224"/>
      <c r="G5" s="227"/>
      <c r="H5" s="227"/>
      <c r="I5" s="227"/>
      <c r="J5" s="128"/>
      <c r="K5" s="128"/>
      <c r="L5" s="128"/>
      <c r="M5" s="128"/>
      <c r="N5" s="7"/>
      <c r="O5" s="7"/>
      <c r="P5" s="109"/>
      <c r="Q5" s="109"/>
      <c r="R5" s="109"/>
      <c r="S5" s="2"/>
      <c r="T5" s="109"/>
      <c r="U5" s="7"/>
      <c r="V5" s="7"/>
      <c r="W5" s="2"/>
      <c r="X5" s="2"/>
      <c r="Y5" s="2"/>
      <c r="Z5" s="2"/>
    </row>
    <row r="6" spans="1:26" ht="13.5" customHeight="1" x14ac:dyDescent="0.15">
      <c r="A6" s="1" t="s">
        <v>244</v>
      </c>
      <c r="B6" s="275">
        <v>3.5000000000000003E-2</v>
      </c>
      <c r="C6" s="44"/>
      <c r="D6" s="71"/>
      <c r="E6" s="82"/>
      <c r="F6" s="82"/>
      <c r="G6" s="65"/>
      <c r="H6" s="65"/>
      <c r="I6" s="65"/>
      <c r="J6" s="47"/>
      <c r="K6" s="47"/>
      <c r="L6" s="47"/>
      <c r="M6" s="47"/>
      <c r="N6" s="7"/>
      <c r="O6" s="7"/>
      <c r="P6" s="109"/>
      <c r="Q6" s="109"/>
      <c r="R6" s="109"/>
      <c r="S6" s="2"/>
      <c r="T6" s="109"/>
      <c r="U6" s="7"/>
      <c r="V6" s="7"/>
      <c r="W6" s="2"/>
      <c r="X6" s="2"/>
      <c r="Y6" s="2"/>
      <c r="Z6" s="2"/>
    </row>
    <row r="7" spans="1:26" ht="13.5" customHeight="1" x14ac:dyDescent="0.15">
      <c r="A7" s="1" t="s">
        <v>344</v>
      </c>
      <c r="B7" s="471">
        <v>0.1</v>
      </c>
      <c r="C7" s="471"/>
      <c r="D7" s="472"/>
      <c r="E7" s="473"/>
      <c r="F7" s="473"/>
      <c r="G7" s="474"/>
      <c r="H7" s="474"/>
      <c r="I7" s="474"/>
      <c r="J7" s="475"/>
      <c r="K7" s="475"/>
      <c r="L7" s="475"/>
      <c r="M7" s="475"/>
      <c r="N7" s="7"/>
      <c r="O7" s="7"/>
      <c r="P7" s="7"/>
      <c r="Q7" s="7"/>
      <c r="R7" s="7"/>
      <c r="S7" s="2"/>
      <c r="T7" s="7"/>
      <c r="U7" s="7"/>
      <c r="V7" s="7"/>
      <c r="W7" s="2"/>
      <c r="X7" s="2"/>
      <c r="Y7" s="2"/>
      <c r="Z7" s="2"/>
    </row>
    <row r="8" spans="1:26" ht="13.5" customHeight="1" x14ac:dyDescent="0.15">
      <c r="A8" s="1" t="s">
        <v>345</v>
      </c>
      <c r="B8" s="471">
        <v>0.95</v>
      </c>
      <c r="C8" s="471"/>
      <c r="D8" s="472"/>
      <c r="E8" s="473"/>
      <c r="F8" s="473"/>
      <c r="G8" s="474"/>
      <c r="H8" s="474"/>
      <c r="I8" s="474"/>
      <c r="J8" s="475"/>
      <c r="K8" s="475"/>
      <c r="L8" s="475"/>
      <c r="M8" s="475"/>
      <c r="N8" s="7"/>
      <c r="O8" s="7"/>
      <c r="P8" s="549"/>
      <c r="Q8" s="549"/>
      <c r="R8" s="549"/>
      <c r="S8" s="2"/>
      <c r="T8" s="7"/>
      <c r="U8" s="7"/>
      <c r="V8" s="7"/>
      <c r="W8" s="2"/>
      <c r="X8" s="2"/>
      <c r="Y8" s="2"/>
      <c r="Z8" s="2"/>
    </row>
    <row r="9" spans="1:26" ht="13.5" customHeight="1" x14ac:dyDescent="0.15">
      <c r="A9" s="35" t="s">
        <v>304</v>
      </c>
      <c r="B9" s="44">
        <v>0.93</v>
      </c>
      <c r="C9" s="471"/>
      <c r="D9" s="472"/>
      <c r="E9" s="473"/>
      <c r="F9" s="473"/>
      <c r="G9" s="474"/>
      <c r="H9" s="474"/>
      <c r="I9" s="474"/>
      <c r="J9" s="475"/>
      <c r="K9" s="475"/>
      <c r="L9" s="475"/>
      <c r="M9" s="475"/>
      <c r="N9" s="7"/>
      <c r="O9" s="7"/>
      <c r="P9" s="549"/>
      <c r="Q9" s="7"/>
      <c r="R9" s="7"/>
      <c r="S9" s="2"/>
      <c r="T9" s="7"/>
      <c r="U9" s="7"/>
      <c r="V9" s="7"/>
      <c r="W9" s="2"/>
      <c r="X9" s="2"/>
      <c r="Y9" s="2"/>
      <c r="Z9" s="2"/>
    </row>
    <row r="10" spans="1:26" ht="13.5" customHeight="1" x14ac:dyDescent="0.15">
      <c r="A10" s="35" t="s">
        <v>346</v>
      </c>
      <c r="B10" s="44">
        <v>0.65</v>
      </c>
      <c r="C10" s="471"/>
      <c r="D10" s="550"/>
      <c r="E10" s="551">
        <f>B10</f>
        <v>0.65</v>
      </c>
      <c r="F10" s="551">
        <f t="shared" ref="F10:M10" si="1">E10*1.05</f>
        <v>0.68250000000000011</v>
      </c>
      <c r="G10" s="552">
        <f t="shared" si="1"/>
        <v>0.71662500000000018</v>
      </c>
      <c r="H10" s="552">
        <f t="shared" si="1"/>
        <v>0.75245625000000027</v>
      </c>
      <c r="I10" s="552">
        <f t="shared" si="1"/>
        <v>0.79007906250000037</v>
      </c>
      <c r="J10" s="553">
        <f t="shared" si="1"/>
        <v>0.82958301562500047</v>
      </c>
      <c r="K10" s="553">
        <f t="shared" si="1"/>
        <v>0.87106216640625056</v>
      </c>
      <c r="L10" s="553">
        <f t="shared" si="1"/>
        <v>0.91461527472656312</v>
      </c>
      <c r="M10" s="553">
        <f t="shared" si="1"/>
        <v>0.96034603846289135</v>
      </c>
      <c r="N10" s="7"/>
      <c r="O10" s="7"/>
      <c r="P10" s="7"/>
      <c r="Q10" s="7"/>
      <c r="R10" s="2"/>
      <c r="S10" s="7"/>
      <c r="T10" s="2"/>
      <c r="U10" s="7"/>
      <c r="V10" s="7"/>
      <c r="W10" s="2"/>
      <c r="X10" s="2"/>
      <c r="Y10" s="2"/>
      <c r="Z10" s="2"/>
    </row>
    <row r="11" spans="1:26" ht="13.5" customHeight="1" x14ac:dyDescent="0.15">
      <c r="A11" s="35" t="s">
        <v>56</v>
      </c>
      <c r="B11" s="44">
        <v>0.2</v>
      </c>
      <c r="C11" s="471"/>
      <c r="D11" s="472"/>
      <c r="E11" s="473"/>
      <c r="F11" s="473"/>
      <c r="G11" s="474"/>
      <c r="H11" s="474"/>
      <c r="I11" s="474"/>
      <c r="J11" s="475"/>
      <c r="K11" s="475"/>
      <c r="L11" s="475"/>
      <c r="M11" s="475"/>
      <c r="N11" s="7"/>
      <c r="O11" s="7"/>
      <c r="P11" s="7"/>
      <c r="Q11" s="7"/>
      <c r="R11" s="2"/>
      <c r="S11" s="7"/>
      <c r="T11" s="2"/>
      <c r="U11" s="7"/>
      <c r="V11" s="7"/>
      <c r="W11" s="2"/>
      <c r="X11" s="2"/>
      <c r="Y11" s="2"/>
      <c r="Z11" s="2"/>
    </row>
    <row r="12" spans="1:26" ht="13.5" customHeight="1" x14ac:dyDescent="0.15">
      <c r="A12" s="35" t="s">
        <v>353</v>
      </c>
      <c r="B12" s="280">
        <f>'Project Data'!S143+'Project Data'!P146+'Project Data'!K133</f>
        <v>218621</v>
      </c>
      <c r="C12" s="280"/>
      <c r="D12" s="554"/>
      <c r="E12" s="555"/>
      <c r="F12" s="555"/>
      <c r="G12" s="556"/>
      <c r="H12" s="556"/>
      <c r="I12" s="556"/>
      <c r="J12" s="557"/>
      <c r="K12" s="557"/>
      <c r="L12" s="557"/>
      <c r="M12" s="557"/>
      <c r="N12" s="2"/>
      <c r="O12" s="2"/>
      <c r="P12" s="2"/>
      <c r="Q12" s="2"/>
      <c r="R12" s="2"/>
      <c r="S12" s="2"/>
      <c r="T12" s="2"/>
      <c r="U12" s="7"/>
      <c r="V12" s="7"/>
      <c r="W12" s="2"/>
      <c r="X12" s="2"/>
      <c r="Y12" s="2"/>
      <c r="Z12" s="2"/>
    </row>
    <row r="13" spans="1:26" ht="13.5" customHeight="1" x14ac:dyDescent="0.15">
      <c r="A13" s="35" t="s">
        <v>307</v>
      </c>
      <c r="B13" s="608">
        <f>'Project Data'!C73</f>
        <v>80</v>
      </c>
      <c r="C13" s="16"/>
      <c r="D13" s="559">
        <f t="shared" ref="D13:D15" si="2">B13</f>
        <v>80</v>
      </c>
      <c r="E13" s="560">
        <f t="shared" ref="E13:G13" si="3">D13*1.05</f>
        <v>84</v>
      </c>
      <c r="F13" s="560">
        <f t="shared" si="3"/>
        <v>88.2</v>
      </c>
      <c r="G13" s="561">
        <f t="shared" si="3"/>
        <v>92.610000000000014</v>
      </c>
      <c r="H13" s="561"/>
      <c r="I13" s="561"/>
      <c r="J13" s="562"/>
      <c r="K13" s="562"/>
      <c r="L13" s="562"/>
      <c r="M13" s="562"/>
      <c r="N13" s="2"/>
      <c r="O13" s="2"/>
      <c r="P13" s="2"/>
      <c r="Q13" s="2"/>
      <c r="R13" s="2"/>
      <c r="S13" s="2"/>
      <c r="T13" s="2"/>
      <c r="U13" s="7"/>
      <c r="V13" s="7"/>
      <c r="W13" s="2"/>
      <c r="X13" s="2"/>
      <c r="Y13" s="2"/>
      <c r="Z13" s="2"/>
    </row>
    <row r="14" spans="1:26" ht="13.5" customHeight="1" x14ac:dyDescent="0.15">
      <c r="A14" s="35" t="s">
        <v>347</v>
      </c>
      <c r="B14" s="558">
        <f>'Project Data'!C71</f>
        <v>25.2</v>
      </c>
      <c r="C14" s="16"/>
      <c r="D14" s="559">
        <f t="shared" si="2"/>
        <v>25.2</v>
      </c>
      <c r="E14" s="563">
        <f t="shared" ref="E14:M14" si="4">D14*(1+$B$6)</f>
        <v>26.081999999999997</v>
      </c>
      <c r="F14" s="563">
        <f t="shared" si="4"/>
        <v>26.994869999999995</v>
      </c>
      <c r="G14" s="564">
        <f t="shared" si="4"/>
        <v>27.939690449999993</v>
      </c>
      <c r="H14" s="564">
        <f t="shared" si="4"/>
        <v>28.91757961574999</v>
      </c>
      <c r="I14" s="564">
        <f t="shared" si="4"/>
        <v>29.929694902301236</v>
      </c>
      <c r="J14" s="565">
        <f t="shared" si="4"/>
        <v>30.977234223881776</v>
      </c>
      <c r="K14" s="565">
        <f t="shared" si="4"/>
        <v>32.061437421717635</v>
      </c>
      <c r="L14" s="565">
        <f t="shared" si="4"/>
        <v>33.183587731477751</v>
      </c>
      <c r="M14" s="565">
        <f t="shared" si="4"/>
        <v>34.345013302079472</v>
      </c>
      <c r="N14" s="2"/>
      <c r="O14" s="2"/>
      <c r="P14" s="2"/>
      <c r="Q14" s="2"/>
      <c r="R14" s="2"/>
      <c r="S14" s="2"/>
      <c r="T14" s="2"/>
      <c r="U14" s="7"/>
      <c r="V14" s="7"/>
      <c r="W14" s="2"/>
      <c r="X14" s="2"/>
      <c r="Y14" s="2"/>
      <c r="Z14" s="2"/>
    </row>
    <row r="15" spans="1:26" ht="13.5" customHeight="1" x14ac:dyDescent="0.15">
      <c r="A15" s="63" t="s">
        <v>309</v>
      </c>
      <c r="B15" s="566">
        <v>4</v>
      </c>
      <c r="C15" s="25"/>
      <c r="D15" s="567">
        <f t="shared" si="2"/>
        <v>4</v>
      </c>
      <c r="E15" s="569">
        <f t="shared" ref="E15:M15" si="5">D15*(1+$B$6)</f>
        <v>4.1399999999999997</v>
      </c>
      <c r="F15" s="569">
        <f t="shared" si="5"/>
        <v>4.2848999999999995</v>
      </c>
      <c r="G15" s="570">
        <f t="shared" si="5"/>
        <v>4.434871499999999</v>
      </c>
      <c r="H15" s="570">
        <f t="shared" si="5"/>
        <v>4.5900920024999987</v>
      </c>
      <c r="I15" s="570">
        <f t="shared" si="5"/>
        <v>4.750745222587498</v>
      </c>
      <c r="J15" s="571">
        <f t="shared" si="5"/>
        <v>4.9170213053780598</v>
      </c>
      <c r="K15" s="571">
        <f t="shared" si="5"/>
        <v>5.0891170510662915</v>
      </c>
      <c r="L15" s="571">
        <f t="shared" si="5"/>
        <v>5.2672361478536116</v>
      </c>
      <c r="M15" s="571">
        <f t="shared" si="5"/>
        <v>5.4515894130284872</v>
      </c>
      <c r="N15" s="719"/>
      <c r="O15" s="719"/>
      <c r="P15" s="719"/>
      <c r="Q15" s="2"/>
      <c r="R15" s="2"/>
      <c r="S15" s="7"/>
      <c r="T15" s="2"/>
      <c r="U15" s="7"/>
      <c r="V15" s="7"/>
      <c r="W15" s="2"/>
      <c r="X15" s="2"/>
      <c r="Y15" s="2"/>
      <c r="Z15" s="2"/>
    </row>
    <row r="16" spans="1:26" ht="13.5" customHeight="1" x14ac:dyDescent="0.15">
      <c r="A16" s="92" t="s">
        <v>30</v>
      </c>
      <c r="B16" s="16"/>
      <c r="C16" s="16"/>
      <c r="D16" s="572"/>
      <c r="E16" s="563"/>
      <c r="F16" s="563"/>
      <c r="G16" s="564"/>
      <c r="H16" s="564"/>
      <c r="I16" s="564"/>
      <c r="J16" s="565"/>
      <c r="K16" s="565"/>
      <c r="L16" s="565"/>
      <c r="M16" s="565"/>
      <c r="N16" s="719"/>
      <c r="O16" s="719"/>
      <c r="P16" s="719"/>
      <c r="Q16" s="2"/>
      <c r="R16" s="2"/>
      <c r="S16" s="7"/>
      <c r="T16" s="2"/>
      <c r="U16" s="7"/>
      <c r="V16" s="7"/>
      <c r="W16" s="2"/>
      <c r="X16" s="2"/>
      <c r="Y16" s="2"/>
      <c r="Z16" s="2"/>
    </row>
    <row r="17" spans="1:26" ht="13.5" customHeight="1" x14ac:dyDescent="0.15">
      <c r="A17" s="35" t="s">
        <v>348</v>
      </c>
      <c r="B17" s="16"/>
      <c r="C17" s="16"/>
      <c r="D17" s="572"/>
      <c r="E17" s="563">
        <f t="shared" ref="E17:G17" si="6">$B$12*E14*E10*$B$9*D22</f>
        <v>593895.12109200004</v>
      </c>
      <c r="F17" s="563">
        <f t="shared" si="6"/>
        <v>2151385.0761557701</v>
      </c>
      <c r="G17" s="564">
        <f t="shared" si="6"/>
        <v>2932763.5609524101</v>
      </c>
      <c r="H17" s="564">
        <f t="shared" ref="H17:M17" si="7">$B$12*H14*H10*$B$9</f>
        <v>4424029.5469669402</v>
      </c>
      <c r="I17" s="564">
        <f t="shared" si="7"/>
        <v>4807814.1101663224</v>
      </c>
      <c r="J17" s="565">
        <f t="shared" si="7"/>
        <v>5224891.9842232503</v>
      </c>
      <c r="K17" s="565">
        <f t="shared" si="7"/>
        <v>5678151.3638546178</v>
      </c>
      <c r="L17" s="565">
        <f t="shared" si="7"/>
        <v>6170730.9946690053</v>
      </c>
      <c r="M17" s="565">
        <f t="shared" si="7"/>
        <v>6706041.9084565425</v>
      </c>
      <c r="N17" s="719"/>
      <c r="O17" s="719"/>
      <c r="P17" s="719"/>
      <c r="Q17" s="2"/>
      <c r="R17" s="2"/>
      <c r="S17" s="7"/>
      <c r="T17" s="2"/>
      <c r="U17" s="7"/>
      <c r="V17" s="7"/>
      <c r="W17" s="2"/>
      <c r="X17" s="2"/>
      <c r="Y17" s="2"/>
      <c r="Z17" s="2"/>
    </row>
    <row r="18" spans="1:26" ht="25.5" customHeight="1" x14ac:dyDescent="0.15">
      <c r="A18" s="573" t="s">
        <v>349</v>
      </c>
      <c r="B18" s="16"/>
      <c r="C18" s="574"/>
      <c r="D18" s="575"/>
      <c r="E18" s="563">
        <f t="shared" ref="E18:F18" si="8">E15*$B$12*$B$8*D21</f>
        <v>148148.24400000001</v>
      </c>
      <c r="F18" s="563">
        <f t="shared" si="8"/>
        <v>357778.0092599999</v>
      </c>
      <c r="G18" s="564">
        <f>G15*$B$12*$B$8*F22</f>
        <v>663567.64818749984</v>
      </c>
      <c r="H18" s="564">
        <f t="shared" ref="H18:M18" si="9">H15*$B$12*$B$8</f>
        <v>953315.97849462461</v>
      </c>
      <c r="I18" s="564">
        <f t="shared" si="9"/>
        <v>986682.03774193628</v>
      </c>
      <c r="J18" s="565">
        <f t="shared" si="9"/>
        <v>1021215.9090629038</v>
      </c>
      <c r="K18" s="565">
        <f t="shared" si="9"/>
        <v>1056958.4658801055</v>
      </c>
      <c r="L18" s="565">
        <f t="shared" si="9"/>
        <v>1093952.0121859091</v>
      </c>
      <c r="M18" s="565">
        <f t="shared" si="9"/>
        <v>1132240.3326124158</v>
      </c>
      <c r="N18" s="719"/>
      <c r="O18" s="719"/>
      <c r="P18" s="719"/>
      <c r="Q18" s="2"/>
      <c r="R18" s="2"/>
      <c r="S18" s="2"/>
      <c r="T18" s="2"/>
      <c r="U18" s="7"/>
      <c r="V18" s="7"/>
      <c r="W18" s="2"/>
      <c r="X18" s="2"/>
      <c r="Y18" s="2"/>
      <c r="Z18" s="2"/>
    </row>
    <row r="19" spans="1:26" ht="13.5" customHeight="1" x14ac:dyDescent="0.15">
      <c r="A19" s="277" t="s">
        <v>177</v>
      </c>
      <c r="B19" s="283"/>
      <c r="C19" s="283"/>
      <c r="D19" s="567"/>
      <c r="E19" s="568">
        <f t="shared" ref="E19:M19" si="10">E17-E18</f>
        <v>445746.87709200004</v>
      </c>
      <c r="F19" s="568">
        <f t="shared" si="10"/>
        <v>1793607.0668957701</v>
      </c>
      <c r="G19" s="576">
        <f t="shared" si="10"/>
        <v>2269195.9127649101</v>
      </c>
      <c r="H19" s="576">
        <f t="shared" si="10"/>
        <v>3470713.5684723156</v>
      </c>
      <c r="I19" s="576">
        <f t="shared" si="10"/>
        <v>3821132.0724243862</v>
      </c>
      <c r="J19" s="577">
        <f t="shared" si="10"/>
        <v>4203676.0751603469</v>
      </c>
      <c r="K19" s="577">
        <f t="shared" si="10"/>
        <v>4621192.8979745125</v>
      </c>
      <c r="L19" s="577">
        <f t="shared" si="10"/>
        <v>5076778.9824830964</v>
      </c>
      <c r="M19" s="577">
        <f t="shared" si="10"/>
        <v>5573801.5758441268</v>
      </c>
      <c r="N19" s="719"/>
      <c r="O19" s="719"/>
      <c r="P19" s="719"/>
      <c r="Q19" s="2"/>
      <c r="R19" s="2"/>
      <c r="S19" s="2"/>
      <c r="T19" s="2"/>
      <c r="U19" s="7"/>
      <c r="V19" s="7"/>
      <c r="W19" s="2"/>
      <c r="X19" s="2"/>
      <c r="Y19" s="2"/>
      <c r="Z19" s="2"/>
    </row>
    <row r="20" spans="1:26" ht="18" customHeight="1" x14ac:dyDescent="0.15">
      <c r="A20" s="92" t="s">
        <v>106</v>
      </c>
      <c r="B20" s="280"/>
      <c r="C20" s="280"/>
      <c r="D20" s="554"/>
      <c r="E20" s="555"/>
      <c r="F20" s="555"/>
      <c r="G20" s="556"/>
      <c r="H20" s="556"/>
      <c r="I20" s="556"/>
      <c r="J20" s="557"/>
      <c r="K20" s="557"/>
      <c r="L20" s="557"/>
      <c r="M20" s="557"/>
      <c r="N20" s="743"/>
      <c r="O20" s="763"/>
      <c r="P20" s="758"/>
      <c r="Q20" s="7"/>
      <c r="R20" s="7"/>
      <c r="S20" s="7"/>
      <c r="T20" s="7"/>
      <c r="U20" s="7"/>
      <c r="V20" s="7"/>
      <c r="W20" s="2"/>
      <c r="X20" s="2"/>
      <c r="Y20" s="2"/>
      <c r="Z20" s="2"/>
    </row>
    <row r="21" spans="1:26" ht="13.5" customHeight="1" x14ac:dyDescent="0.15">
      <c r="A21" s="1" t="s">
        <v>320</v>
      </c>
      <c r="B21" s="267"/>
      <c r="C21" s="267"/>
      <c r="D21" s="609">
        <f>'Project Data'!S143/B12*0.3</f>
        <v>0.17229817812561465</v>
      </c>
      <c r="E21" s="524">
        <f>'Project Data'!S143/B12*0.7</f>
        <v>0.40202908229310086</v>
      </c>
      <c r="F21" s="579">
        <f>'Project Data'!K133/B12</f>
        <v>0.14609758440405998</v>
      </c>
      <c r="G21" s="580">
        <f>'Project Data'!P146/B12</f>
        <v>0.27957515517722453</v>
      </c>
      <c r="H21" s="580"/>
      <c r="I21" s="582"/>
      <c r="J21" s="581"/>
      <c r="K21" s="581"/>
      <c r="L21" s="581"/>
      <c r="M21" s="581"/>
      <c r="N21" s="743"/>
      <c r="O21" s="743"/>
      <c r="P21" s="743"/>
      <c r="Q21" s="7"/>
      <c r="R21" s="7"/>
      <c r="S21" s="7"/>
      <c r="T21" s="7"/>
      <c r="U21" s="7"/>
      <c r="V21" s="7"/>
      <c r="W21" s="2"/>
      <c r="X21" s="2"/>
      <c r="Y21" s="2"/>
      <c r="Z21" s="2"/>
    </row>
    <row r="22" spans="1:26" ht="13.5" customHeight="1" x14ac:dyDescent="0.15">
      <c r="A22" s="1" t="s">
        <v>335</v>
      </c>
      <c r="B22" s="267"/>
      <c r="C22" s="44"/>
      <c r="D22" s="523">
        <f>D21</f>
        <v>0.17229817812561465</v>
      </c>
      <c r="E22" s="524">
        <f t="shared" ref="E22:M22" si="11">D22+E21</f>
        <v>0.57432726041871551</v>
      </c>
      <c r="F22" s="524">
        <f t="shared" si="11"/>
        <v>0.72042484482277547</v>
      </c>
      <c r="G22" s="525">
        <f t="shared" si="11"/>
        <v>1</v>
      </c>
      <c r="H22" s="525">
        <f t="shared" si="11"/>
        <v>1</v>
      </c>
      <c r="I22" s="525">
        <f t="shared" si="11"/>
        <v>1</v>
      </c>
      <c r="J22" s="522">
        <f t="shared" si="11"/>
        <v>1</v>
      </c>
      <c r="K22" s="522">
        <f t="shared" si="11"/>
        <v>1</v>
      </c>
      <c r="L22" s="522">
        <f t="shared" si="11"/>
        <v>1</v>
      </c>
      <c r="M22" s="522">
        <f t="shared" si="11"/>
        <v>1</v>
      </c>
      <c r="N22" s="743"/>
      <c r="O22" s="743"/>
      <c r="P22" s="743"/>
      <c r="Q22" s="7"/>
      <c r="R22" s="7"/>
      <c r="S22" s="7"/>
      <c r="T22" s="7"/>
      <c r="U22" s="7"/>
      <c r="V22" s="7"/>
      <c r="W22" s="2"/>
      <c r="X22" s="2"/>
      <c r="Y22" s="2"/>
      <c r="Z22" s="2"/>
    </row>
    <row r="23" spans="1:26" ht="13.5" customHeight="1" x14ac:dyDescent="0.15">
      <c r="A23" s="1" t="s">
        <v>350</v>
      </c>
      <c r="B23" s="267"/>
      <c r="C23" s="267"/>
      <c r="D23" s="572">
        <f t="shared" ref="D23:G23" si="12">-$B$12*D13*D21</f>
        <v>-3013440</v>
      </c>
      <c r="E23" s="563">
        <f t="shared" si="12"/>
        <v>-7382928</v>
      </c>
      <c r="F23" s="563">
        <f t="shared" si="12"/>
        <v>-2817107.9999999995</v>
      </c>
      <c r="G23" s="564">
        <f t="shared" si="12"/>
        <v>-5660415.8100000015</v>
      </c>
      <c r="H23" s="582"/>
      <c r="I23" s="582"/>
      <c r="J23" s="581"/>
      <c r="K23" s="581"/>
      <c r="L23" s="581"/>
      <c r="M23" s="581"/>
      <c r="N23" s="743"/>
      <c r="O23" s="743"/>
      <c r="P23" s="743"/>
      <c r="Q23" s="7"/>
      <c r="R23" s="7"/>
      <c r="S23" s="7"/>
      <c r="T23" s="7"/>
      <c r="U23" s="7"/>
      <c r="V23" s="7"/>
      <c r="W23" s="2"/>
      <c r="X23" s="2"/>
      <c r="Y23" s="2"/>
      <c r="Z23" s="2"/>
    </row>
    <row r="24" spans="1:26" ht="13.5" customHeight="1" x14ac:dyDescent="0.15">
      <c r="A24" s="1" t="s">
        <v>351</v>
      </c>
      <c r="B24" s="535">
        <v>0.2</v>
      </c>
      <c r="C24" s="267"/>
      <c r="D24" s="610">
        <f t="shared" ref="D24:G24" si="13">$B24*D23</f>
        <v>-602688</v>
      </c>
      <c r="E24" s="569">
        <f t="shared" si="13"/>
        <v>-1476585.6</v>
      </c>
      <c r="F24" s="569">
        <f t="shared" si="13"/>
        <v>-563421.6</v>
      </c>
      <c r="G24" s="570">
        <f t="shared" si="13"/>
        <v>-1132083.1620000002</v>
      </c>
      <c r="H24" s="582"/>
      <c r="I24" s="582"/>
      <c r="J24" s="581"/>
      <c r="K24" s="581"/>
      <c r="L24" s="581"/>
      <c r="M24" s="581"/>
      <c r="N24" s="743"/>
      <c r="O24" s="743"/>
      <c r="P24" s="743"/>
      <c r="Q24" s="7"/>
      <c r="R24" s="7"/>
      <c r="S24" s="7"/>
      <c r="T24" s="7"/>
      <c r="U24" s="7"/>
      <c r="V24" s="7"/>
      <c r="W24" s="2"/>
      <c r="X24" s="2"/>
      <c r="Y24" s="2"/>
      <c r="Z24" s="2"/>
    </row>
    <row r="25" spans="1:26" ht="13.5" customHeight="1" x14ac:dyDescent="0.15">
      <c r="A25" s="277" t="s">
        <v>170</v>
      </c>
      <c r="B25" s="25"/>
      <c r="C25" s="283"/>
      <c r="D25" s="610">
        <f t="shared" ref="D25:G25" si="14">SUM(D23:D24)</f>
        <v>-3616128</v>
      </c>
      <c r="E25" s="569">
        <f t="shared" si="14"/>
        <v>-8859513.5999999996</v>
      </c>
      <c r="F25" s="569">
        <f t="shared" si="14"/>
        <v>-3380529.5999999996</v>
      </c>
      <c r="G25" s="570">
        <f t="shared" si="14"/>
        <v>-6792498.9720000019</v>
      </c>
      <c r="H25" s="585"/>
      <c r="I25" s="585"/>
      <c r="J25" s="586"/>
      <c r="K25" s="586"/>
      <c r="L25" s="586"/>
      <c r="M25" s="586"/>
      <c r="N25" s="743"/>
      <c r="O25" s="743"/>
      <c r="P25" s="743"/>
      <c r="Q25" s="7"/>
      <c r="R25" s="7"/>
      <c r="S25" s="7"/>
      <c r="T25" s="7"/>
      <c r="U25" s="7"/>
      <c r="V25" s="7"/>
      <c r="W25" s="2"/>
      <c r="X25" s="2"/>
      <c r="Y25" s="2"/>
      <c r="Z25" s="2"/>
    </row>
    <row r="26" spans="1:26" ht="18" customHeight="1" x14ac:dyDescent="0.15">
      <c r="A26" s="92" t="s">
        <v>174</v>
      </c>
      <c r="B26" s="280"/>
      <c r="C26" s="280"/>
      <c r="D26" s="554"/>
      <c r="E26" s="555"/>
      <c r="F26" s="555"/>
      <c r="G26" s="556"/>
      <c r="H26" s="556"/>
      <c r="I26" s="556"/>
      <c r="J26" s="557"/>
      <c r="K26" s="557"/>
      <c r="L26" s="557"/>
      <c r="M26" s="557"/>
      <c r="N26" s="743"/>
      <c r="O26" s="743"/>
      <c r="P26" s="743"/>
      <c r="Q26" s="7"/>
      <c r="R26" s="7"/>
      <c r="S26" s="7"/>
      <c r="T26" s="7"/>
      <c r="U26" s="7"/>
      <c r="V26" s="7"/>
      <c r="W26" s="2"/>
      <c r="X26" s="2"/>
      <c r="Y26" s="2"/>
      <c r="Z26" s="2"/>
    </row>
    <row r="27" spans="1:26" ht="13.5" customHeight="1" x14ac:dyDescent="0.15">
      <c r="A27" s="1" t="s">
        <v>177</v>
      </c>
      <c r="B27" s="587"/>
      <c r="C27" s="587"/>
      <c r="D27" s="588"/>
      <c r="E27" s="589">
        <f t="shared" ref="E27:M27" si="15">E19</f>
        <v>445746.87709200004</v>
      </c>
      <c r="F27" s="589">
        <f t="shared" si="15"/>
        <v>1793607.0668957701</v>
      </c>
      <c r="G27" s="590">
        <f t="shared" si="15"/>
        <v>2269195.9127649101</v>
      </c>
      <c r="H27" s="590">
        <f t="shared" si="15"/>
        <v>3470713.5684723156</v>
      </c>
      <c r="I27" s="590">
        <f t="shared" si="15"/>
        <v>3821132.0724243862</v>
      </c>
      <c r="J27" s="591">
        <f t="shared" si="15"/>
        <v>4203676.0751603469</v>
      </c>
      <c r="K27" s="591">
        <f t="shared" si="15"/>
        <v>4621192.8979745125</v>
      </c>
      <c r="L27" s="591">
        <f t="shared" si="15"/>
        <v>5076778.9824830964</v>
      </c>
      <c r="M27" s="591">
        <f t="shared" si="15"/>
        <v>5573801.5758441268</v>
      </c>
      <c r="N27" s="7"/>
      <c r="O27" s="7"/>
      <c r="P27" s="7"/>
      <c r="Q27" s="7"/>
      <c r="R27" s="7"/>
      <c r="S27" s="7"/>
      <c r="T27" s="7"/>
      <c r="U27" s="7"/>
      <c r="V27" s="7"/>
      <c r="W27" s="2"/>
      <c r="X27" s="2"/>
      <c r="Y27" s="2"/>
      <c r="Z27" s="2"/>
    </row>
    <row r="28" spans="1:26" ht="13.5" customHeight="1" x14ac:dyDescent="0.15">
      <c r="A28" s="1" t="s">
        <v>344</v>
      </c>
      <c r="B28" s="535">
        <v>0.06</v>
      </c>
      <c r="C28" s="535"/>
      <c r="D28" s="592"/>
      <c r="E28" s="593"/>
      <c r="F28" s="593"/>
      <c r="G28" s="594"/>
      <c r="H28" s="594"/>
      <c r="I28" s="594"/>
      <c r="J28" s="595"/>
      <c r="K28" s="595"/>
      <c r="L28" s="595"/>
      <c r="M28" s="595"/>
      <c r="N28" s="7"/>
      <c r="O28" s="7"/>
      <c r="P28" s="7"/>
      <c r="Q28" s="7"/>
      <c r="R28" s="7"/>
      <c r="S28" s="7"/>
      <c r="T28" s="7"/>
      <c r="U28" s="7"/>
      <c r="V28" s="7"/>
      <c r="W28" s="2"/>
      <c r="X28" s="2"/>
      <c r="Y28" s="2"/>
      <c r="Z28" s="2"/>
    </row>
    <row r="29" spans="1:26" ht="13.5" customHeight="1" x14ac:dyDescent="0.15">
      <c r="A29" s="1" t="s">
        <v>324</v>
      </c>
      <c r="B29" s="44"/>
      <c r="C29" s="44"/>
      <c r="D29" s="592"/>
      <c r="E29" s="589"/>
      <c r="F29" s="589"/>
      <c r="G29" s="590"/>
      <c r="H29" s="590"/>
      <c r="I29" s="590"/>
      <c r="J29" s="591"/>
      <c r="K29" s="591"/>
      <c r="L29" s="591"/>
      <c r="M29" s="591">
        <f>M27/$B$28</f>
        <v>92896692.930735454</v>
      </c>
      <c r="N29" s="7"/>
      <c r="O29" s="7"/>
      <c r="P29" s="7"/>
      <c r="Q29" s="7"/>
      <c r="R29" s="7"/>
      <c r="S29" s="7"/>
      <c r="T29" s="7"/>
      <c r="U29" s="7"/>
      <c r="V29" s="7"/>
      <c r="W29" s="2"/>
      <c r="X29" s="2"/>
      <c r="Y29" s="2"/>
      <c r="Z29" s="2"/>
    </row>
    <row r="30" spans="1:26" ht="13.5" customHeight="1" x14ac:dyDescent="0.15">
      <c r="A30" s="1" t="s">
        <v>325</v>
      </c>
      <c r="B30" s="44">
        <v>0.03</v>
      </c>
      <c r="C30" s="44"/>
      <c r="D30" s="592"/>
      <c r="E30" s="596"/>
      <c r="F30" s="596"/>
      <c r="G30" s="582"/>
      <c r="H30" s="582"/>
      <c r="I30" s="582"/>
      <c r="J30" s="581"/>
      <c r="K30" s="581"/>
      <c r="L30" s="581"/>
      <c r="M30" s="591">
        <f>M29*B30</f>
        <v>2786900.7879220634</v>
      </c>
      <c r="N30" s="7"/>
      <c r="O30" s="7"/>
      <c r="P30" s="7"/>
      <c r="Q30" s="7"/>
      <c r="R30" s="7"/>
      <c r="S30" s="7"/>
      <c r="T30" s="7"/>
      <c r="U30" s="7"/>
      <c r="V30" s="7"/>
      <c r="W30" s="2"/>
      <c r="X30" s="2"/>
      <c r="Y30" s="2"/>
      <c r="Z30" s="2"/>
    </row>
    <row r="31" spans="1:26" ht="13.5" customHeight="1" x14ac:dyDescent="0.15">
      <c r="A31" s="1" t="s">
        <v>170</v>
      </c>
      <c r="B31" s="44"/>
      <c r="C31" s="44"/>
      <c r="D31" s="578"/>
      <c r="E31" s="569">
        <f t="shared" ref="E31:G31" si="16">E25</f>
        <v>-8859513.5999999996</v>
      </c>
      <c r="F31" s="569">
        <f t="shared" si="16"/>
        <v>-3380529.5999999996</v>
      </c>
      <c r="G31" s="570">
        <f t="shared" si="16"/>
        <v>-6792498.9720000019</v>
      </c>
      <c r="H31" s="582"/>
      <c r="I31" s="582"/>
      <c r="J31" s="581"/>
      <c r="K31" s="581"/>
      <c r="L31" s="581"/>
      <c r="M31" s="581"/>
      <c r="N31" s="7"/>
      <c r="O31" s="7"/>
      <c r="P31" s="7"/>
      <c r="Q31" s="7"/>
      <c r="R31" s="7"/>
      <c r="S31" s="7"/>
      <c r="T31" s="7"/>
      <c r="U31" s="7"/>
      <c r="V31" s="7"/>
      <c r="W31" s="2"/>
      <c r="X31" s="2"/>
      <c r="Y31" s="2"/>
      <c r="Z31" s="2"/>
    </row>
    <row r="32" spans="1:26" ht="13.5" customHeight="1" x14ac:dyDescent="0.15">
      <c r="A32" s="279" t="s">
        <v>326</v>
      </c>
      <c r="B32" s="282"/>
      <c r="C32" s="282"/>
      <c r="D32" s="597">
        <f>D27+D29-D31</f>
        <v>0</v>
      </c>
      <c r="E32" s="611">
        <f t="shared" ref="E32:M32" si="17">SUM(E27:E31)</f>
        <v>-8413766.7229079995</v>
      </c>
      <c r="F32" s="611">
        <f t="shared" si="17"/>
        <v>-1586922.5331042295</v>
      </c>
      <c r="G32" s="612">
        <f t="shared" si="17"/>
        <v>-4523303.0592350923</v>
      </c>
      <c r="H32" s="570">
        <f t="shared" si="17"/>
        <v>3470713.5684723156</v>
      </c>
      <c r="I32" s="570">
        <f t="shared" si="17"/>
        <v>3821132.0724243862</v>
      </c>
      <c r="J32" s="571">
        <f t="shared" si="17"/>
        <v>4203676.0751603469</v>
      </c>
      <c r="K32" s="571">
        <f t="shared" si="17"/>
        <v>4621192.8979745125</v>
      </c>
      <c r="L32" s="571">
        <f t="shared" si="17"/>
        <v>5076778.9824830964</v>
      </c>
      <c r="M32" s="571">
        <f t="shared" si="17"/>
        <v>101257395.29450165</v>
      </c>
      <c r="N32" s="7"/>
      <c r="O32" s="7"/>
      <c r="P32" s="7"/>
      <c r="Q32" s="7"/>
      <c r="R32" s="7"/>
      <c r="S32" s="7"/>
      <c r="T32" s="7"/>
      <c r="U32" s="7"/>
      <c r="V32" s="7"/>
      <c r="W32" s="2"/>
      <c r="X32" s="2"/>
      <c r="Y32" s="2"/>
      <c r="Z32" s="2"/>
    </row>
    <row r="33" spans="1:26" ht="18" customHeight="1" x14ac:dyDescent="0.15">
      <c r="A33" s="92" t="s">
        <v>218</v>
      </c>
      <c r="B33" s="471"/>
      <c r="C33" s="471"/>
      <c r="D33" s="930">
        <f t="array" ref="D33">NPV(B7,D32:M32)</f>
        <v>38581818.275676519</v>
      </c>
      <c r="E33" s="555"/>
      <c r="F33" s="555"/>
      <c r="G33" s="556"/>
      <c r="H33" s="556"/>
      <c r="I33" s="556"/>
      <c r="J33" s="557"/>
      <c r="K33" s="557"/>
      <c r="L33" s="557"/>
      <c r="M33" s="557"/>
      <c r="N33" s="7"/>
      <c r="O33" s="7"/>
      <c r="P33" s="7"/>
      <c r="Q33" s="7"/>
      <c r="R33" s="7"/>
      <c r="S33" s="7"/>
      <c r="T33" s="7"/>
      <c r="U33" s="7"/>
      <c r="V33" s="7"/>
      <c r="W33" s="2"/>
      <c r="X33" s="2"/>
      <c r="Y33" s="2"/>
      <c r="Z33" s="2"/>
    </row>
    <row r="34" spans="1:26" ht="18" customHeight="1" x14ac:dyDescent="0.15">
      <c r="A34" s="281" t="s">
        <v>224</v>
      </c>
      <c r="B34" s="283"/>
      <c r="C34" s="283"/>
      <c r="D34" s="931">
        <f>IRR(D32:M32,B7)</f>
        <v>0.38322290004058246</v>
      </c>
      <c r="E34" s="599"/>
      <c r="F34" s="599"/>
      <c r="G34" s="600"/>
      <c r="H34" s="600"/>
      <c r="I34" s="600"/>
      <c r="J34" s="601"/>
      <c r="K34" s="601"/>
      <c r="L34" s="601"/>
      <c r="M34" s="601"/>
      <c r="N34" s="7"/>
      <c r="O34" s="7"/>
      <c r="P34" s="7"/>
      <c r="Q34" s="7"/>
      <c r="R34" s="7"/>
      <c r="S34" s="7"/>
      <c r="T34" s="7"/>
      <c r="U34" s="7"/>
      <c r="V34" s="7"/>
      <c r="W34" s="2"/>
      <c r="X34" s="2"/>
      <c r="Y34" s="2"/>
      <c r="Z34" s="2"/>
    </row>
    <row r="35" spans="1:26" ht="18" customHeight="1" x14ac:dyDescent="0.15">
      <c r="A35" s="281" t="s">
        <v>229</v>
      </c>
      <c r="B35" s="283"/>
      <c r="C35" s="283"/>
      <c r="D35" s="602"/>
      <c r="E35" s="599"/>
      <c r="F35" s="599"/>
      <c r="G35" s="600"/>
      <c r="H35" s="600"/>
      <c r="I35" s="600"/>
      <c r="J35" s="601"/>
      <c r="K35" s="601"/>
      <c r="L35" s="601"/>
      <c r="M35" s="601"/>
      <c r="N35" s="7"/>
      <c r="O35" s="7"/>
      <c r="P35" s="7"/>
      <c r="Q35" s="7"/>
      <c r="R35" s="7"/>
      <c r="S35" s="7"/>
      <c r="T35" s="7"/>
      <c r="U35" s="7"/>
      <c r="V35" s="7"/>
      <c r="W35" s="2"/>
      <c r="X35" s="2"/>
      <c r="Y35" s="2"/>
      <c r="Z35" s="2"/>
    </row>
    <row r="36" spans="1:26" ht="12.75" customHeight="1" x14ac:dyDescent="0.15">
      <c r="A36" s="7"/>
      <c r="B36" s="16"/>
      <c r="C36" s="1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2"/>
      <c r="X36" s="2"/>
      <c r="Y36" s="2"/>
      <c r="Z36" s="2"/>
    </row>
    <row r="37" spans="1:26" ht="13" x14ac:dyDescent="0.1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" x14ac:dyDescent="0.1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" x14ac:dyDescent="0.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" x14ac:dyDescent="0.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honeticPr fontId="24" type="noConversion"/>
  <pageMargins left="0.7" right="0.7" top="0.75" bottom="0.75" header="0.3" footer="0.3"/>
  <pageSetup paperSize="3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000"/>
  <sheetViews>
    <sheetView workbookViewId="0">
      <selection activeCell="D38" sqref="D37:D38"/>
    </sheetView>
  </sheetViews>
  <sheetFormatPr baseColWidth="10" defaultColWidth="17.33203125" defaultRowHeight="15" customHeight="1" x14ac:dyDescent="0.15"/>
  <cols>
    <col min="1" max="1" width="23.1640625" customWidth="1"/>
    <col min="2" max="3" width="8.5" customWidth="1"/>
    <col min="4" max="5" width="12.5" customWidth="1"/>
    <col min="6" max="7" width="12" customWidth="1"/>
    <col min="8" max="8" width="11.83203125" customWidth="1"/>
    <col min="9" max="12" width="12" customWidth="1"/>
    <col min="13" max="13" width="8.5" customWidth="1"/>
    <col min="14" max="14" width="9.1640625" customWidth="1"/>
    <col min="15" max="15" width="45.5" bestFit="1" customWidth="1"/>
    <col min="16" max="16" width="26.5" customWidth="1"/>
    <col min="17" max="257" width="9.1640625" customWidth="1"/>
  </cols>
  <sheetData>
    <row r="1" spans="1:257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271" t="s">
        <v>3</v>
      </c>
      <c r="M1" s="272">
        <v>176272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</row>
    <row r="2" spans="1:257" ht="13.5" customHeight="1" x14ac:dyDescent="0.15">
      <c r="A2" s="11" t="s">
        <v>67</v>
      </c>
      <c r="B2" s="16"/>
      <c r="C2" s="16"/>
      <c r="D2" s="7"/>
      <c r="E2" s="7"/>
      <c r="F2" s="7"/>
      <c r="G2" s="7"/>
      <c r="H2" s="7"/>
      <c r="I2" s="7"/>
      <c r="J2" s="7"/>
      <c r="K2" s="7"/>
      <c r="L2" s="548"/>
      <c r="M2" s="250"/>
      <c r="N2" s="7"/>
      <c r="O2" s="633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</row>
    <row r="3" spans="1:257" ht="13.5" customHeight="1" x14ac:dyDescent="0.15">
      <c r="A3" s="7"/>
      <c r="B3" s="16"/>
      <c r="C3" s="16" t="s">
        <v>18</v>
      </c>
      <c r="D3" s="15" t="s">
        <v>19</v>
      </c>
      <c r="E3" s="17" t="s">
        <v>20</v>
      </c>
      <c r="F3" s="17"/>
      <c r="G3" s="18" t="s">
        <v>21</v>
      </c>
      <c r="H3" s="19"/>
      <c r="I3" s="18"/>
      <c r="J3" s="20" t="s">
        <v>22</v>
      </c>
      <c r="K3" s="21"/>
      <c r="L3" s="21"/>
      <c r="M3" s="2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</row>
    <row r="4" spans="1:257" ht="13.5" customHeight="1" x14ac:dyDescent="0.15">
      <c r="A4" s="86"/>
      <c r="B4" s="27" t="s">
        <v>25</v>
      </c>
      <c r="C4" s="27" t="s">
        <v>24</v>
      </c>
      <c r="D4" s="470">
        <v>2019</v>
      </c>
      <c r="E4" s="29">
        <f t="shared" ref="E4:M4" si="0">D4+1</f>
        <v>2020</v>
      </c>
      <c r="F4" s="29">
        <f t="shared" si="0"/>
        <v>2021</v>
      </c>
      <c r="G4" s="31">
        <f t="shared" si="0"/>
        <v>2022</v>
      </c>
      <c r="H4" s="31">
        <f t="shared" si="0"/>
        <v>2023</v>
      </c>
      <c r="I4" s="31">
        <f t="shared" si="0"/>
        <v>2024</v>
      </c>
      <c r="J4" s="33">
        <f t="shared" si="0"/>
        <v>2025</v>
      </c>
      <c r="K4" s="33">
        <f t="shared" si="0"/>
        <v>2026</v>
      </c>
      <c r="L4" s="33">
        <f t="shared" si="0"/>
        <v>2027</v>
      </c>
      <c r="M4" s="33">
        <f t="shared" si="0"/>
        <v>2028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</row>
    <row r="5" spans="1:257" ht="18" customHeight="1" x14ac:dyDescent="0.15">
      <c r="A5" s="92" t="s">
        <v>302</v>
      </c>
      <c r="B5" s="16"/>
      <c r="C5" s="16"/>
      <c r="D5" s="222"/>
      <c r="E5" s="224"/>
      <c r="F5" s="224"/>
      <c r="G5" s="227"/>
      <c r="H5" s="227"/>
      <c r="I5" s="227"/>
      <c r="J5" s="128"/>
      <c r="K5" s="128"/>
      <c r="L5" s="128"/>
      <c r="M5" s="128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ht="13.5" customHeight="1" x14ac:dyDescent="0.15">
      <c r="A6" s="1" t="s">
        <v>244</v>
      </c>
      <c r="B6" s="634">
        <v>3.5000000000000003E-2</v>
      </c>
      <c r="C6" s="44"/>
      <c r="D6" s="71"/>
      <c r="E6" s="82"/>
      <c r="F6" s="82"/>
      <c r="G6" s="65"/>
      <c r="H6" s="65"/>
      <c r="I6" s="65"/>
      <c r="J6" s="47"/>
      <c r="K6" s="47"/>
      <c r="L6" s="47"/>
      <c r="M6" s="4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ht="13.5" customHeight="1" x14ac:dyDescent="0.15">
      <c r="A7" s="1" t="s">
        <v>61</v>
      </c>
      <c r="B7" s="635">
        <v>0.1</v>
      </c>
      <c r="C7" s="471"/>
      <c r="D7" s="472"/>
      <c r="E7" s="473"/>
      <c r="F7" s="473"/>
      <c r="G7" s="474"/>
      <c r="H7" s="474"/>
      <c r="I7" s="474"/>
      <c r="J7" s="475"/>
      <c r="K7" s="475"/>
      <c r="L7" s="475"/>
      <c r="M7" s="475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ht="13.5" customHeight="1" x14ac:dyDescent="0.15">
      <c r="A8" s="1" t="s">
        <v>358</v>
      </c>
      <c r="B8" s="635">
        <v>0.12</v>
      </c>
      <c r="C8" s="471"/>
      <c r="D8" s="472"/>
      <c r="E8" s="473"/>
      <c r="F8" s="473"/>
      <c r="G8" s="474"/>
      <c r="H8" s="474"/>
      <c r="I8" s="474"/>
      <c r="J8" s="475"/>
      <c r="K8" s="475"/>
      <c r="L8" s="475"/>
      <c r="M8" s="475"/>
      <c r="N8" s="4"/>
      <c r="O8" s="4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ht="13.5" customHeight="1" x14ac:dyDescent="0.15">
      <c r="A9" s="1" t="s">
        <v>359</v>
      </c>
      <c r="B9" s="274">
        <f>'Project Data'!J133</f>
        <v>145256</v>
      </c>
      <c r="C9" s="471"/>
      <c r="D9" s="472"/>
      <c r="E9" s="473"/>
      <c r="F9" s="473"/>
      <c r="G9" s="474"/>
      <c r="H9" s="474"/>
      <c r="I9" s="474"/>
      <c r="J9" s="475"/>
      <c r="K9" s="475"/>
      <c r="L9" s="475"/>
      <c r="M9" s="475"/>
      <c r="N9" s="4"/>
      <c r="O9" s="4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ht="13.5" customHeight="1" x14ac:dyDescent="0.15">
      <c r="A10" s="1" t="s">
        <v>360</v>
      </c>
      <c r="B10" s="274">
        <v>360</v>
      </c>
      <c r="C10" s="471"/>
      <c r="D10" s="472"/>
      <c r="E10" s="473"/>
      <c r="F10" s="473"/>
      <c r="G10" s="474"/>
      <c r="H10" s="474"/>
      <c r="I10" s="474"/>
      <c r="J10" s="475"/>
      <c r="K10" s="475"/>
      <c r="L10" s="475"/>
      <c r="M10" s="475"/>
      <c r="N10" s="4"/>
      <c r="O10" s="4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ht="13.5" customHeight="1" x14ac:dyDescent="0.15">
      <c r="A11" s="1" t="s">
        <v>361</v>
      </c>
      <c r="B11" s="274">
        <f>B9*0.85/B10</f>
        <v>342.96555555555551</v>
      </c>
      <c r="C11" s="471"/>
      <c r="D11" s="616"/>
      <c r="E11" s="617"/>
      <c r="F11" s="617"/>
      <c r="G11" s="618"/>
      <c r="H11" s="618"/>
      <c r="I11" s="618"/>
      <c r="J11" s="504"/>
      <c r="K11" s="504"/>
      <c r="L11" s="504"/>
      <c r="M11" s="475"/>
      <c r="N11" s="4"/>
      <c r="O11" s="4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ht="13.5" customHeight="1" x14ac:dyDescent="0.15">
      <c r="A12" s="1" t="s">
        <v>362</v>
      </c>
      <c r="B12" s="636">
        <f>'Project Data'!B94</f>
        <v>1500</v>
      </c>
      <c r="C12" s="636">
        <f>B12</f>
        <v>1500</v>
      </c>
      <c r="D12" s="572">
        <f t="shared" ref="D12:M12" si="1">C12*(1+$B$6)</f>
        <v>1552.4999999999998</v>
      </c>
      <c r="E12" s="563">
        <f t="shared" si="1"/>
        <v>1606.8374999999996</v>
      </c>
      <c r="F12" s="563">
        <f t="shared" si="1"/>
        <v>1663.0768124999995</v>
      </c>
      <c r="G12" s="564">
        <f t="shared" si="1"/>
        <v>1721.2845009374994</v>
      </c>
      <c r="H12" s="564">
        <f t="shared" si="1"/>
        <v>1781.5294584703117</v>
      </c>
      <c r="I12" s="564">
        <f t="shared" si="1"/>
        <v>1843.8829895167726</v>
      </c>
      <c r="J12" s="565">
        <f t="shared" si="1"/>
        <v>1908.4188941498594</v>
      </c>
      <c r="K12" s="565">
        <f t="shared" si="1"/>
        <v>1975.2135554451042</v>
      </c>
      <c r="L12" s="565">
        <f t="shared" si="1"/>
        <v>2044.3460298856828</v>
      </c>
      <c r="M12" s="565">
        <f t="shared" si="1"/>
        <v>2115.8981409316816</v>
      </c>
      <c r="N12" s="4"/>
      <c r="O12" s="4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ht="13.5" customHeight="1" x14ac:dyDescent="0.15">
      <c r="A13" s="1" t="s">
        <v>363</v>
      </c>
      <c r="B13" s="471">
        <v>0.4</v>
      </c>
      <c r="C13" s="280"/>
      <c r="D13" s="554"/>
      <c r="E13" s="555"/>
      <c r="F13" s="555"/>
      <c r="G13" s="556"/>
      <c r="H13" s="556"/>
      <c r="I13" s="556"/>
      <c r="J13" s="557"/>
      <c r="K13" s="557"/>
      <c r="L13" s="557"/>
      <c r="M13" s="557"/>
      <c r="N13" s="4"/>
      <c r="O13" s="4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ht="13.5" customHeight="1" x14ac:dyDescent="0.15">
      <c r="A14" s="1" t="s">
        <v>367</v>
      </c>
      <c r="B14" s="44">
        <v>0.5</v>
      </c>
      <c r="C14" s="44"/>
      <c r="D14" s="592"/>
      <c r="E14" s="579">
        <f>B14</f>
        <v>0.5</v>
      </c>
      <c r="F14" s="579">
        <f t="shared" ref="F14:M14" si="2">E14*1.05</f>
        <v>0.52500000000000002</v>
      </c>
      <c r="G14" s="580">
        <f t="shared" si="2"/>
        <v>0.55125000000000002</v>
      </c>
      <c r="H14" s="580">
        <f t="shared" si="2"/>
        <v>0.57881250000000006</v>
      </c>
      <c r="I14" s="580">
        <f t="shared" si="2"/>
        <v>0.60775312500000012</v>
      </c>
      <c r="J14" s="640">
        <f t="shared" si="2"/>
        <v>0.63814078125000018</v>
      </c>
      <c r="K14" s="640">
        <f t="shared" si="2"/>
        <v>0.67004782031250021</v>
      </c>
      <c r="L14" s="640">
        <f t="shared" si="2"/>
        <v>0.70355021132812523</v>
      </c>
      <c r="M14" s="640">
        <f t="shared" si="2"/>
        <v>0.73872772189453151</v>
      </c>
      <c r="N14" s="4"/>
      <c r="O14" s="4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ht="13.5" customHeight="1" x14ac:dyDescent="0.15">
      <c r="A15" s="279" t="s">
        <v>148</v>
      </c>
      <c r="B15" s="642">
        <f>'Project Data'!B93</f>
        <v>180</v>
      </c>
      <c r="C15" s="644">
        <f>B15</f>
        <v>180</v>
      </c>
      <c r="D15" s="567">
        <f t="shared" ref="D15:M15" si="3">C15*(1+$B$6)</f>
        <v>186.29999999999998</v>
      </c>
      <c r="E15" s="568">
        <f t="shared" si="3"/>
        <v>192.82049999999998</v>
      </c>
      <c r="F15" s="568">
        <f t="shared" si="3"/>
        <v>199.56921749999998</v>
      </c>
      <c r="G15" s="576">
        <f t="shared" si="3"/>
        <v>206.55414011249997</v>
      </c>
      <c r="H15" s="576">
        <f t="shared" si="3"/>
        <v>213.78353501643744</v>
      </c>
      <c r="I15" s="576">
        <f t="shared" si="3"/>
        <v>221.26595874201274</v>
      </c>
      <c r="J15" s="577">
        <f t="shared" si="3"/>
        <v>229.01026729798318</v>
      </c>
      <c r="K15" s="577">
        <f t="shared" si="3"/>
        <v>237.02562665341256</v>
      </c>
      <c r="L15" s="577">
        <f t="shared" si="3"/>
        <v>245.32152358628198</v>
      </c>
      <c r="M15" s="577">
        <f t="shared" si="3"/>
        <v>253.90777691180185</v>
      </c>
      <c r="N15" s="4"/>
      <c r="O15" s="4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ht="18" customHeight="1" x14ac:dyDescent="0.15">
      <c r="A16" s="92" t="s">
        <v>30</v>
      </c>
      <c r="B16" s="280"/>
      <c r="C16" s="280"/>
      <c r="D16" s="554"/>
      <c r="E16" s="555"/>
      <c r="F16" s="555"/>
      <c r="G16" s="556"/>
      <c r="H16" s="556"/>
      <c r="I16" s="556"/>
      <c r="J16" s="557"/>
      <c r="K16" s="557"/>
      <c r="L16" s="557"/>
      <c r="M16" s="557"/>
      <c r="N16" s="7"/>
      <c r="O16" s="4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ht="13.5" customHeight="1" x14ac:dyDescent="0.15">
      <c r="A17" s="1" t="s">
        <v>374</v>
      </c>
      <c r="B17" s="267"/>
      <c r="C17" s="267"/>
      <c r="D17" s="588"/>
      <c r="E17" s="589">
        <f t="shared" ref="E17:M17" si="4">E15*$B$11*E14*365</f>
        <v>12068869.157662498</v>
      </c>
      <c r="F17" s="589">
        <f t="shared" si="4"/>
        <v>13115843.557089718</v>
      </c>
      <c r="G17" s="590">
        <f t="shared" si="4"/>
        <v>14253642.985667251</v>
      </c>
      <c r="H17" s="590">
        <f t="shared" si="4"/>
        <v>15490146.514673883</v>
      </c>
      <c r="I17" s="590">
        <f t="shared" si="4"/>
        <v>16833916.724821847</v>
      </c>
      <c r="J17" s="591">
        <f t="shared" si="4"/>
        <v>18294259.000700142</v>
      </c>
      <c r="K17" s="591">
        <f t="shared" si="4"/>
        <v>19881285.969010878</v>
      </c>
      <c r="L17" s="591">
        <f t="shared" si="4"/>
        <v>21605987.526822571</v>
      </c>
      <c r="M17" s="591">
        <f t="shared" si="4"/>
        <v>23480306.944774427</v>
      </c>
      <c r="N17" s="7"/>
      <c r="O17" s="4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ht="13.5" customHeight="1" x14ac:dyDescent="0.15">
      <c r="A18" s="1" t="s">
        <v>376</v>
      </c>
      <c r="B18" s="267"/>
      <c r="C18" s="267"/>
      <c r="D18" s="588"/>
      <c r="E18" s="589">
        <f t="shared" ref="E18:M18" si="5">E12*$B$13*365</f>
        <v>234598.27499999997</v>
      </c>
      <c r="F18" s="589">
        <f t="shared" si="5"/>
        <v>242809.21462499996</v>
      </c>
      <c r="G18" s="590">
        <f t="shared" si="5"/>
        <v>251307.53713687495</v>
      </c>
      <c r="H18" s="590">
        <f t="shared" si="5"/>
        <v>260103.30093666553</v>
      </c>
      <c r="I18" s="590">
        <f t="shared" si="5"/>
        <v>269206.91646944877</v>
      </c>
      <c r="J18" s="591">
        <f t="shared" si="5"/>
        <v>278629.15854587947</v>
      </c>
      <c r="K18" s="591">
        <f t="shared" si="5"/>
        <v>288381.17909498524</v>
      </c>
      <c r="L18" s="591">
        <f t="shared" si="5"/>
        <v>298474.52036330971</v>
      </c>
      <c r="M18" s="591">
        <f t="shared" si="5"/>
        <v>308921.12857602554</v>
      </c>
      <c r="N18" s="7"/>
      <c r="O18" s="4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ht="13.5" customHeight="1" x14ac:dyDescent="0.15">
      <c r="A19" s="573" t="s">
        <v>379</v>
      </c>
      <c r="B19" s="471">
        <v>0.2</v>
      </c>
      <c r="C19" s="574"/>
      <c r="D19" s="575"/>
      <c r="E19" s="589">
        <f t="shared" ref="E19:M19" si="6">$B$19*E17</f>
        <v>2413773.8315324998</v>
      </c>
      <c r="F19" s="589">
        <f t="shared" si="6"/>
        <v>2623168.7114179437</v>
      </c>
      <c r="G19" s="590">
        <f t="shared" si="6"/>
        <v>2850728.5971334502</v>
      </c>
      <c r="H19" s="590">
        <f t="shared" si="6"/>
        <v>3098029.302934777</v>
      </c>
      <c r="I19" s="590">
        <f t="shared" si="6"/>
        <v>3366783.3449643697</v>
      </c>
      <c r="J19" s="591">
        <f t="shared" si="6"/>
        <v>3658851.8001400288</v>
      </c>
      <c r="K19" s="591">
        <f t="shared" si="6"/>
        <v>3976257.193802176</v>
      </c>
      <c r="L19" s="591">
        <f t="shared" si="6"/>
        <v>4321197.505364514</v>
      </c>
      <c r="M19" s="591">
        <f t="shared" si="6"/>
        <v>4696061.3889548853</v>
      </c>
      <c r="N19" s="286"/>
      <c r="O19" s="4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  <c r="CY19" s="286"/>
      <c r="CZ19" s="286"/>
      <c r="DA19" s="286"/>
      <c r="DB19" s="286"/>
      <c r="DC19" s="286"/>
      <c r="DD19" s="286"/>
      <c r="DE19" s="286"/>
      <c r="DF19" s="286"/>
      <c r="DG19" s="286"/>
      <c r="DH19" s="286"/>
      <c r="DI19" s="286"/>
      <c r="DJ19" s="286"/>
      <c r="DK19" s="286"/>
      <c r="DL19" s="286"/>
      <c r="DM19" s="286"/>
      <c r="DN19" s="286"/>
      <c r="DO19" s="286"/>
      <c r="DP19" s="286"/>
      <c r="DQ19" s="286"/>
      <c r="DR19" s="286"/>
      <c r="DS19" s="286"/>
      <c r="DT19" s="286"/>
      <c r="DU19" s="286"/>
      <c r="DV19" s="286"/>
      <c r="DW19" s="286"/>
      <c r="DX19" s="286"/>
      <c r="DY19" s="286"/>
      <c r="DZ19" s="286"/>
      <c r="EA19" s="286"/>
      <c r="EB19" s="286"/>
      <c r="EC19" s="286"/>
      <c r="ED19" s="286"/>
      <c r="EE19" s="286"/>
      <c r="EF19" s="286"/>
      <c r="EG19" s="286"/>
      <c r="EH19" s="286"/>
      <c r="EI19" s="286"/>
      <c r="EJ19" s="286"/>
      <c r="EK19" s="286"/>
      <c r="EL19" s="286"/>
      <c r="EM19" s="286"/>
      <c r="EN19" s="286"/>
      <c r="EO19" s="286"/>
      <c r="EP19" s="286"/>
      <c r="EQ19" s="286"/>
      <c r="ER19" s="286"/>
      <c r="ES19" s="286"/>
      <c r="ET19" s="286"/>
      <c r="EU19" s="286"/>
      <c r="EV19" s="286"/>
      <c r="EW19" s="286"/>
      <c r="EX19" s="286"/>
      <c r="EY19" s="286"/>
      <c r="EZ19" s="286"/>
      <c r="FA19" s="286"/>
      <c r="FB19" s="286"/>
      <c r="FC19" s="286"/>
      <c r="FD19" s="286"/>
      <c r="FE19" s="286"/>
      <c r="FF19" s="286"/>
      <c r="FG19" s="286"/>
      <c r="FH19" s="286"/>
      <c r="FI19" s="286"/>
      <c r="FJ19" s="286"/>
      <c r="FK19" s="286"/>
      <c r="FL19" s="286"/>
      <c r="FM19" s="286"/>
      <c r="FN19" s="286"/>
      <c r="FO19" s="286"/>
      <c r="FP19" s="286"/>
      <c r="FQ19" s="286"/>
      <c r="FR19" s="286"/>
      <c r="FS19" s="286"/>
      <c r="FT19" s="286"/>
      <c r="FU19" s="286"/>
      <c r="FV19" s="286"/>
      <c r="FW19" s="286"/>
      <c r="FX19" s="286"/>
      <c r="FY19" s="286"/>
      <c r="FZ19" s="286"/>
      <c r="GA19" s="286"/>
      <c r="GB19" s="286"/>
      <c r="GC19" s="286"/>
      <c r="GD19" s="286"/>
      <c r="GE19" s="286"/>
      <c r="GF19" s="286"/>
      <c r="GG19" s="286"/>
      <c r="GH19" s="286"/>
      <c r="GI19" s="286"/>
      <c r="GJ19" s="286"/>
      <c r="GK19" s="286"/>
      <c r="GL19" s="286"/>
      <c r="GM19" s="286"/>
      <c r="GN19" s="286"/>
      <c r="GO19" s="286"/>
      <c r="GP19" s="286"/>
      <c r="GQ19" s="286"/>
      <c r="GR19" s="286"/>
      <c r="GS19" s="286"/>
      <c r="GT19" s="286"/>
      <c r="GU19" s="286"/>
      <c r="GV19" s="286"/>
      <c r="GW19" s="286"/>
      <c r="GX19" s="286"/>
      <c r="GY19" s="286"/>
      <c r="GZ19" s="286"/>
      <c r="HA19" s="286"/>
      <c r="HB19" s="286"/>
      <c r="HC19" s="286"/>
      <c r="HD19" s="286"/>
      <c r="HE19" s="286"/>
      <c r="HF19" s="286"/>
      <c r="HG19" s="286"/>
      <c r="HH19" s="286"/>
      <c r="HI19" s="286"/>
      <c r="HJ19" s="286"/>
      <c r="HK19" s="286"/>
      <c r="HL19" s="286"/>
      <c r="HM19" s="286"/>
      <c r="HN19" s="286"/>
      <c r="HO19" s="286"/>
      <c r="HP19" s="286"/>
      <c r="HQ19" s="286"/>
      <c r="HR19" s="286"/>
      <c r="HS19" s="286"/>
      <c r="HT19" s="286"/>
      <c r="HU19" s="286"/>
      <c r="HV19" s="286"/>
      <c r="HW19" s="286"/>
      <c r="HX19" s="286"/>
      <c r="HY19" s="286"/>
      <c r="HZ19" s="286"/>
      <c r="IA19" s="286"/>
      <c r="IB19" s="286"/>
      <c r="IC19" s="286"/>
      <c r="ID19" s="286"/>
      <c r="IE19" s="286"/>
      <c r="IF19" s="286"/>
      <c r="IG19" s="286"/>
      <c r="IH19" s="286"/>
      <c r="II19" s="286"/>
      <c r="IJ19" s="286"/>
      <c r="IK19" s="286"/>
      <c r="IL19" s="286"/>
      <c r="IM19" s="286"/>
      <c r="IN19" s="286"/>
      <c r="IO19" s="286"/>
      <c r="IP19" s="286"/>
      <c r="IQ19" s="286"/>
      <c r="IR19" s="286"/>
      <c r="IS19" s="286"/>
      <c r="IT19" s="286"/>
      <c r="IU19" s="286"/>
      <c r="IV19" s="286"/>
      <c r="IW19" s="286"/>
    </row>
    <row r="20" spans="1:257" ht="13.5" customHeight="1" x14ac:dyDescent="0.15">
      <c r="A20" s="650" t="s">
        <v>380</v>
      </c>
      <c r="B20" s="651"/>
      <c r="C20" s="651"/>
      <c r="D20" s="652"/>
      <c r="E20" s="589">
        <f t="shared" ref="E20:M20" si="7">SUM(E9:E17)</f>
        <v>12070669.315662498</v>
      </c>
      <c r="F20" s="589">
        <f t="shared" si="7"/>
        <v>13117706.728119718</v>
      </c>
      <c r="G20" s="590">
        <f t="shared" si="7"/>
        <v>14255571.375558302</v>
      </c>
      <c r="H20" s="590">
        <f t="shared" si="7"/>
        <v>15492142.406479869</v>
      </c>
      <c r="I20" s="590">
        <f t="shared" si="7"/>
        <v>16835982.481523231</v>
      </c>
      <c r="J20" s="591">
        <f t="shared" si="7"/>
        <v>18296397.068002373</v>
      </c>
      <c r="K20" s="591">
        <f t="shared" si="7"/>
        <v>19883498.878240798</v>
      </c>
      <c r="L20" s="591">
        <f t="shared" si="7"/>
        <v>21608277.897926252</v>
      </c>
      <c r="M20" s="591">
        <f t="shared" si="7"/>
        <v>23482677.489419993</v>
      </c>
      <c r="N20" s="286"/>
      <c r="O20" s="4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  <c r="BH20" s="286"/>
      <c r="BI20" s="286"/>
      <c r="BJ20" s="286"/>
      <c r="BK20" s="286"/>
      <c r="BL20" s="286"/>
      <c r="BM20" s="286"/>
      <c r="BN20" s="286"/>
      <c r="BO20" s="286"/>
      <c r="BP20" s="286"/>
      <c r="BQ20" s="286"/>
      <c r="BR20" s="286"/>
      <c r="BS20" s="286"/>
      <c r="BT20" s="286"/>
      <c r="BU20" s="286"/>
      <c r="BV20" s="286"/>
      <c r="BW20" s="286"/>
      <c r="BX20" s="286"/>
      <c r="BY20" s="286"/>
      <c r="BZ20" s="286"/>
      <c r="CA20" s="286"/>
      <c r="CB20" s="286"/>
      <c r="CC20" s="286"/>
      <c r="CD20" s="286"/>
      <c r="CE20" s="286"/>
      <c r="CF20" s="286"/>
      <c r="CG20" s="286"/>
      <c r="CH20" s="286"/>
      <c r="CI20" s="286"/>
      <c r="CJ20" s="286"/>
      <c r="CK20" s="286"/>
      <c r="CL20" s="286"/>
      <c r="CM20" s="286"/>
      <c r="CN20" s="286"/>
      <c r="CO20" s="286"/>
      <c r="CP20" s="286"/>
      <c r="CQ20" s="286"/>
      <c r="CR20" s="286"/>
      <c r="CS20" s="286"/>
      <c r="CT20" s="286"/>
      <c r="CU20" s="286"/>
      <c r="CV20" s="286"/>
      <c r="CW20" s="286"/>
      <c r="CX20" s="286"/>
      <c r="CY20" s="286"/>
      <c r="CZ20" s="286"/>
      <c r="DA20" s="286"/>
      <c r="DB20" s="286"/>
      <c r="DC20" s="286"/>
      <c r="DD20" s="286"/>
      <c r="DE20" s="286"/>
      <c r="DF20" s="286"/>
      <c r="DG20" s="286"/>
      <c r="DH20" s="286"/>
      <c r="DI20" s="286"/>
      <c r="DJ20" s="286"/>
      <c r="DK20" s="286"/>
      <c r="DL20" s="286"/>
      <c r="DM20" s="286"/>
      <c r="DN20" s="286"/>
      <c r="DO20" s="286"/>
      <c r="DP20" s="286"/>
      <c r="DQ20" s="286"/>
      <c r="DR20" s="286"/>
      <c r="DS20" s="286"/>
      <c r="DT20" s="286"/>
      <c r="DU20" s="286"/>
      <c r="DV20" s="286"/>
      <c r="DW20" s="286"/>
      <c r="DX20" s="286"/>
      <c r="DY20" s="286"/>
      <c r="DZ20" s="286"/>
      <c r="EA20" s="286"/>
      <c r="EB20" s="286"/>
      <c r="EC20" s="286"/>
      <c r="ED20" s="286"/>
      <c r="EE20" s="286"/>
      <c r="EF20" s="286"/>
      <c r="EG20" s="286"/>
      <c r="EH20" s="286"/>
      <c r="EI20" s="286"/>
      <c r="EJ20" s="286"/>
      <c r="EK20" s="286"/>
      <c r="EL20" s="286"/>
      <c r="EM20" s="286"/>
      <c r="EN20" s="286"/>
      <c r="EO20" s="286"/>
      <c r="EP20" s="286"/>
      <c r="EQ20" s="286"/>
      <c r="ER20" s="286"/>
      <c r="ES20" s="286"/>
      <c r="ET20" s="286"/>
      <c r="EU20" s="286"/>
      <c r="EV20" s="286"/>
      <c r="EW20" s="286"/>
      <c r="EX20" s="286"/>
      <c r="EY20" s="286"/>
      <c r="EZ20" s="286"/>
      <c r="FA20" s="286"/>
      <c r="FB20" s="286"/>
      <c r="FC20" s="286"/>
      <c r="FD20" s="286"/>
      <c r="FE20" s="286"/>
      <c r="FF20" s="286"/>
      <c r="FG20" s="286"/>
      <c r="FH20" s="286"/>
      <c r="FI20" s="286"/>
      <c r="FJ20" s="286"/>
      <c r="FK20" s="286"/>
      <c r="FL20" s="286"/>
      <c r="FM20" s="286"/>
      <c r="FN20" s="286"/>
      <c r="FO20" s="286"/>
      <c r="FP20" s="286"/>
      <c r="FQ20" s="286"/>
      <c r="FR20" s="286"/>
      <c r="FS20" s="286"/>
      <c r="FT20" s="286"/>
      <c r="FU20" s="286"/>
      <c r="FV20" s="286"/>
      <c r="FW20" s="286"/>
      <c r="FX20" s="286"/>
      <c r="FY20" s="286"/>
      <c r="FZ20" s="286"/>
      <c r="GA20" s="286"/>
      <c r="GB20" s="286"/>
      <c r="GC20" s="286"/>
      <c r="GD20" s="286"/>
      <c r="GE20" s="286"/>
      <c r="GF20" s="286"/>
      <c r="GG20" s="286"/>
      <c r="GH20" s="286"/>
      <c r="GI20" s="286"/>
      <c r="GJ20" s="286"/>
      <c r="GK20" s="286"/>
      <c r="GL20" s="286"/>
      <c r="GM20" s="286"/>
      <c r="GN20" s="286"/>
      <c r="GO20" s="286"/>
      <c r="GP20" s="286"/>
      <c r="GQ20" s="286"/>
      <c r="GR20" s="286"/>
      <c r="GS20" s="286"/>
      <c r="GT20" s="286"/>
      <c r="GU20" s="286"/>
      <c r="GV20" s="286"/>
      <c r="GW20" s="286"/>
      <c r="GX20" s="286"/>
      <c r="GY20" s="286"/>
      <c r="GZ20" s="286"/>
      <c r="HA20" s="286"/>
      <c r="HB20" s="286"/>
      <c r="HC20" s="286"/>
      <c r="HD20" s="286"/>
      <c r="HE20" s="286"/>
      <c r="HF20" s="286"/>
      <c r="HG20" s="286"/>
      <c r="HH20" s="286"/>
      <c r="HI20" s="286"/>
      <c r="HJ20" s="286"/>
      <c r="HK20" s="286"/>
      <c r="HL20" s="286"/>
      <c r="HM20" s="286"/>
      <c r="HN20" s="286"/>
      <c r="HO20" s="286"/>
      <c r="HP20" s="286"/>
      <c r="HQ20" s="286"/>
      <c r="HR20" s="286"/>
      <c r="HS20" s="286"/>
      <c r="HT20" s="286"/>
      <c r="HU20" s="286"/>
      <c r="HV20" s="286"/>
      <c r="HW20" s="286"/>
      <c r="HX20" s="286"/>
      <c r="HY20" s="286"/>
      <c r="HZ20" s="286"/>
      <c r="IA20" s="286"/>
      <c r="IB20" s="286"/>
      <c r="IC20" s="286"/>
      <c r="ID20" s="286"/>
      <c r="IE20" s="286"/>
      <c r="IF20" s="286"/>
      <c r="IG20" s="286"/>
      <c r="IH20" s="286"/>
      <c r="II20" s="286"/>
      <c r="IJ20" s="286"/>
      <c r="IK20" s="286"/>
      <c r="IL20" s="286"/>
      <c r="IM20" s="286"/>
      <c r="IN20" s="286"/>
      <c r="IO20" s="286"/>
      <c r="IP20" s="286"/>
      <c r="IQ20" s="286"/>
      <c r="IR20" s="286"/>
      <c r="IS20" s="286"/>
      <c r="IT20" s="286"/>
      <c r="IU20" s="286"/>
      <c r="IV20" s="286"/>
      <c r="IW20" s="286"/>
    </row>
    <row r="21" spans="1:257" ht="14.25" customHeight="1" x14ac:dyDescent="0.15">
      <c r="A21" s="654" t="s">
        <v>384</v>
      </c>
      <c r="B21" s="656">
        <f>'Project Data'!B96</f>
        <v>0.2</v>
      </c>
      <c r="C21" s="651"/>
      <c r="D21" s="652"/>
      <c r="E21" s="589">
        <f t="shared" ref="E21:M21" si="8">E20*$B$21</f>
        <v>2414133.8631324996</v>
      </c>
      <c r="F21" s="589">
        <f t="shared" si="8"/>
        <v>2623541.345623944</v>
      </c>
      <c r="G21" s="590">
        <f t="shared" si="8"/>
        <v>2851114.2751116604</v>
      </c>
      <c r="H21" s="590">
        <f t="shared" si="8"/>
        <v>3098428.481295974</v>
      </c>
      <c r="I21" s="590">
        <f t="shared" si="8"/>
        <v>3367196.4963046461</v>
      </c>
      <c r="J21" s="591">
        <f t="shared" si="8"/>
        <v>3659279.4136004746</v>
      </c>
      <c r="K21" s="591">
        <f t="shared" si="8"/>
        <v>3976699.7756481599</v>
      </c>
      <c r="L21" s="591">
        <f t="shared" si="8"/>
        <v>4321655.5795852505</v>
      </c>
      <c r="M21" s="591">
        <f t="shared" si="8"/>
        <v>4696535.4978839988</v>
      </c>
      <c r="N21" s="286"/>
      <c r="O21" s="4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  <c r="CD21" s="286"/>
      <c r="CE21" s="286"/>
      <c r="CF21" s="286"/>
      <c r="CG21" s="286"/>
      <c r="CH21" s="286"/>
      <c r="CI21" s="286"/>
      <c r="CJ21" s="286"/>
      <c r="CK21" s="286"/>
      <c r="CL21" s="286"/>
      <c r="CM21" s="286"/>
      <c r="CN21" s="286"/>
      <c r="CO21" s="286"/>
      <c r="CP21" s="286"/>
      <c r="CQ21" s="286"/>
      <c r="CR21" s="286"/>
      <c r="CS21" s="286"/>
      <c r="CT21" s="286"/>
      <c r="CU21" s="286"/>
      <c r="CV21" s="286"/>
      <c r="CW21" s="286"/>
      <c r="CX21" s="286"/>
      <c r="CY21" s="286"/>
      <c r="CZ21" s="286"/>
      <c r="DA21" s="286"/>
      <c r="DB21" s="286"/>
      <c r="DC21" s="286"/>
      <c r="DD21" s="286"/>
      <c r="DE21" s="286"/>
      <c r="DF21" s="286"/>
      <c r="DG21" s="286"/>
      <c r="DH21" s="286"/>
      <c r="DI21" s="286"/>
      <c r="DJ21" s="286"/>
      <c r="DK21" s="286"/>
      <c r="DL21" s="286"/>
      <c r="DM21" s="286"/>
      <c r="DN21" s="286"/>
      <c r="DO21" s="286"/>
      <c r="DP21" s="286"/>
      <c r="DQ21" s="286"/>
      <c r="DR21" s="286"/>
      <c r="DS21" s="286"/>
      <c r="DT21" s="286"/>
      <c r="DU21" s="286"/>
      <c r="DV21" s="286"/>
      <c r="DW21" s="286"/>
      <c r="DX21" s="286"/>
      <c r="DY21" s="286"/>
      <c r="DZ21" s="286"/>
      <c r="EA21" s="286"/>
      <c r="EB21" s="286"/>
      <c r="EC21" s="286"/>
      <c r="ED21" s="286"/>
      <c r="EE21" s="286"/>
      <c r="EF21" s="286"/>
      <c r="EG21" s="286"/>
      <c r="EH21" s="286"/>
      <c r="EI21" s="286"/>
      <c r="EJ21" s="286"/>
      <c r="EK21" s="286"/>
      <c r="EL21" s="286"/>
      <c r="EM21" s="286"/>
      <c r="EN21" s="286"/>
      <c r="EO21" s="286"/>
      <c r="EP21" s="286"/>
      <c r="EQ21" s="286"/>
      <c r="ER21" s="286"/>
      <c r="ES21" s="286"/>
      <c r="ET21" s="286"/>
      <c r="EU21" s="286"/>
      <c r="EV21" s="286"/>
      <c r="EW21" s="286"/>
      <c r="EX21" s="286"/>
      <c r="EY21" s="286"/>
      <c r="EZ21" s="286"/>
      <c r="FA21" s="286"/>
      <c r="FB21" s="286"/>
      <c r="FC21" s="286"/>
      <c r="FD21" s="286"/>
      <c r="FE21" s="286"/>
      <c r="FF21" s="286"/>
      <c r="FG21" s="286"/>
      <c r="FH21" s="286"/>
      <c r="FI21" s="286"/>
      <c r="FJ21" s="286"/>
      <c r="FK21" s="286"/>
      <c r="FL21" s="286"/>
      <c r="FM21" s="286"/>
      <c r="FN21" s="286"/>
      <c r="FO21" s="286"/>
      <c r="FP21" s="286"/>
      <c r="FQ21" s="286"/>
      <c r="FR21" s="286"/>
      <c r="FS21" s="286"/>
      <c r="FT21" s="286"/>
      <c r="FU21" s="286"/>
      <c r="FV21" s="286"/>
      <c r="FW21" s="286"/>
      <c r="FX21" s="286"/>
      <c r="FY21" s="286"/>
      <c r="FZ21" s="286"/>
      <c r="GA21" s="286"/>
      <c r="GB21" s="286"/>
      <c r="GC21" s="286"/>
      <c r="GD21" s="286"/>
      <c r="GE21" s="286"/>
      <c r="GF21" s="286"/>
      <c r="GG21" s="286"/>
      <c r="GH21" s="286"/>
      <c r="GI21" s="286"/>
      <c r="GJ21" s="286"/>
      <c r="GK21" s="286"/>
      <c r="GL21" s="286"/>
      <c r="GM21" s="286"/>
      <c r="GN21" s="286"/>
      <c r="GO21" s="286"/>
      <c r="GP21" s="286"/>
      <c r="GQ21" s="286"/>
      <c r="GR21" s="286"/>
      <c r="GS21" s="286"/>
      <c r="GT21" s="286"/>
      <c r="GU21" s="286"/>
      <c r="GV21" s="286"/>
      <c r="GW21" s="286"/>
      <c r="GX21" s="286"/>
      <c r="GY21" s="286"/>
      <c r="GZ21" s="286"/>
      <c r="HA21" s="286"/>
      <c r="HB21" s="286"/>
      <c r="HC21" s="286"/>
      <c r="HD21" s="286"/>
      <c r="HE21" s="286"/>
      <c r="HF21" s="286"/>
      <c r="HG21" s="286"/>
      <c r="HH21" s="286"/>
      <c r="HI21" s="286"/>
      <c r="HJ21" s="286"/>
      <c r="HK21" s="286"/>
      <c r="HL21" s="286"/>
      <c r="HM21" s="286"/>
      <c r="HN21" s="286"/>
      <c r="HO21" s="286"/>
      <c r="HP21" s="286"/>
      <c r="HQ21" s="286"/>
      <c r="HR21" s="286"/>
      <c r="HS21" s="286"/>
      <c r="HT21" s="286"/>
      <c r="HU21" s="286"/>
      <c r="HV21" s="286"/>
      <c r="HW21" s="286"/>
      <c r="HX21" s="286"/>
      <c r="HY21" s="286"/>
      <c r="HZ21" s="286"/>
      <c r="IA21" s="286"/>
      <c r="IB21" s="286"/>
      <c r="IC21" s="286"/>
      <c r="ID21" s="286"/>
      <c r="IE21" s="286"/>
      <c r="IF21" s="286"/>
      <c r="IG21" s="286"/>
      <c r="IH21" s="286"/>
      <c r="II21" s="286"/>
      <c r="IJ21" s="286"/>
      <c r="IK21" s="286"/>
      <c r="IL21" s="286"/>
      <c r="IM21" s="286"/>
      <c r="IN21" s="286"/>
      <c r="IO21" s="286"/>
      <c r="IP21" s="286"/>
      <c r="IQ21" s="286"/>
      <c r="IR21" s="286"/>
      <c r="IS21" s="286"/>
      <c r="IT21" s="286"/>
      <c r="IU21" s="286"/>
      <c r="IV21" s="286"/>
      <c r="IW21" s="286"/>
    </row>
    <row r="22" spans="1:257" ht="13.5" customHeight="1" x14ac:dyDescent="0.15">
      <c r="A22" s="654" t="s">
        <v>150</v>
      </c>
      <c r="B22" s="651">
        <f>'Project Data'!B95</f>
        <v>0.3</v>
      </c>
      <c r="C22" s="651"/>
      <c r="D22" s="659"/>
      <c r="E22" s="589">
        <f t="shared" ref="E22:M22" si="9">$B$22*E20</f>
        <v>3621200.7946987492</v>
      </c>
      <c r="F22" s="589">
        <f t="shared" si="9"/>
        <v>3935312.018435915</v>
      </c>
      <c r="G22" s="590">
        <f t="shared" si="9"/>
        <v>4276671.4126674905</v>
      </c>
      <c r="H22" s="590">
        <f t="shared" si="9"/>
        <v>4647642.7219439605</v>
      </c>
      <c r="I22" s="590">
        <f t="shared" si="9"/>
        <v>5050794.7444569692</v>
      </c>
      <c r="J22" s="591">
        <f t="shared" si="9"/>
        <v>5488919.1204007119</v>
      </c>
      <c r="K22" s="591">
        <f t="shared" si="9"/>
        <v>5965049.6634722389</v>
      </c>
      <c r="L22" s="591">
        <f t="shared" si="9"/>
        <v>6482483.3693778757</v>
      </c>
      <c r="M22" s="591">
        <f t="shared" si="9"/>
        <v>7044803.2468259977</v>
      </c>
      <c r="N22" s="286"/>
      <c r="O22" s="4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6"/>
      <c r="CL22" s="286"/>
      <c r="CM22" s="286"/>
      <c r="CN22" s="286"/>
      <c r="CO22" s="286"/>
      <c r="CP22" s="286"/>
      <c r="CQ22" s="286"/>
      <c r="CR22" s="286"/>
      <c r="CS22" s="286"/>
      <c r="CT22" s="286"/>
      <c r="CU22" s="286"/>
      <c r="CV22" s="286"/>
      <c r="CW22" s="286"/>
      <c r="CX22" s="286"/>
      <c r="CY22" s="286"/>
      <c r="CZ22" s="286"/>
      <c r="DA22" s="286"/>
      <c r="DB22" s="286"/>
      <c r="DC22" s="286"/>
      <c r="DD22" s="286"/>
      <c r="DE22" s="286"/>
      <c r="DF22" s="286"/>
      <c r="DG22" s="286"/>
      <c r="DH22" s="286"/>
      <c r="DI22" s="286"/>
      <c r="DJ22" s="286"/>
      <c r="DK22" s="286"/>
      <c r="DL22" s="286"/>
      <c r="DM22" s="286"/>
      <c r="DN22" s="286"/>
      <c r="DO22" s="286"/>
      <c r="DP22" s="286"/>
      <c r="DQ22" s="286"/>
      <c r="DR22" s="286"/>
      <c r="DS22" s="286"/>
      <c r="DT22" s="286"/>
      <c r="DU22" s="286"/>
      <c r="DV22" s="286"/>
      <c r="DW22" s="286"/>
      <c r="DX22" s="286"/>
      <c r="DY22" s="286"/>
      <c r="DZ22" s="286"/>
      <c r="EA22" s="286"/>
      <c r="EB22" s="286"/>
      <c r="EC22" s="286"/>
      <c r="ED22" s="286"/>
      <c r="EE22" s="286"/>
      <c r="EF22" s="286"/>
      <c r="EG22" s="286"/>
      <c r="EH22" s="286"/>
      <c r="EI22" s="286"/>
      <c r="EJ22" s="286"/>
      <c r="EK22" s="286"/>
      <c r="EL22" s="286"/>
      <c r="EM22" s="286"/>
      <c r="EN22" s="286"/>
      <c r="EO22" s="286"/>
      <c r="EP22" s="286"/>
      <c r="EQ22" s="286"/>
      <c r="ER22" s="286"/>
      <c r="ES22" s="286"/>
      <c r="ET22" s="286"/>
      <c r="EU22" s="286"/>
      <c r="EV22" s="286"/>
      <c r="EW22" s="286"/>
      <c r="EX22" s="286"/>
      <c r="EY22" s="286"/>
      <c r="EZ22" s="286"/>
      <c r="FA22" s="286"/>
      <c r="FB22" s="286"/>
      <c r="FC22" s="286"/>
      <c r="FD22" s="286"/>
      <c r="FE22" s="286"/>
      <c r="FF22" s="286"/>
      <c r="FG22" s="286"/>
      <c r="FH22" s="286"/>
      <c r="FI22" s="286"/>
      <c r="FJ22" s="286"/>
      <c r="FK22" s="286"/>
      <c r="FL22" s="286"/>
      <c r="FM22" s="286"/>
      <c r="FN22" s="286"/>
      <c r="FO22" s="286"/>
      <c r="FP22" s="286"/>
      <c r="FQ22" s="286"/>
      <c r="FR22" s="286"/>
      <c r="FS22" s="286"/>
      <c r="FT22" s="286"/>
      <c r="FU22" s="286"/>
      <c r="FV22" s="286"/>
      <c r="FW22" s="286"/>
      <c r="FX22" s="286"/>
      <c r="FY22" s="286"/>
      <c r="FZ22" s="286"/>
      <c r="GA22" s="286"/>
      <c r="GB22" s="286"/>
      <c r="GC22" s="286"/>
      <c r="GD22" s="286"/>
      <c r="GE22" s="286"/>
      <c r="GF22" s="286"/>
      <c r="GG22" s="286"/>
      <c r="GH22" s="286"/>
      <c r="GI22" s="286"/>
      <c r="GJ22" s="286"/>
      <c r="GK22" s="286"/>
      <c r="GL22" s="286"/>
      <c r="GM22" s="286"/>
      <c r="GN22" s="286"/>
      <c r="GO22" s="286"/>
      <c r="GP22" s="286"/>
      <c r="GQ22" s="286"/>
      <c r="GR22" s="286"/>
      <c r="GS22" s="286"/>
      <c r="GT22" s="286"/>
      <c r="GU22" s="286"/>
      <c r="GV22" s="286"/>
      <c r="GW22" s="286"/>
      <c r="GX22" s="286"/>
      <c r="GY22" s="286"/>
      <c r="GZ22" s="286"/>
      <c r="HA22" s="286"/>
      <c r="HB22" s="286"/>
      <c r="HC22" s="286"/>
      <c r="HD22" s="286"/>
      <c r="HE22" s="286"/>
      <c r="HF22" s="286"/>
      <c r="HG22" s="286"/>
      <c r="HH22" s="286"/>
      <c r="HI22" s="286"/>
      <c r="HJ22" s="286"/>
      <c r="HK22" s="286"/>
      <c r="HL22" s="286"/>
      <c r="HM22" s="286"/>
      <c r="HN22" s="286"/>
      <c r="HO22" s="286"/>
      <c r="HP22" s="286"/>
      <c r="HQ22" s="286"/>
      <c r="HR22" s="286"/>
      <c r="HS22" s="286"/>
      <c r="HT22" s="286"/>
      <c r="HU22" s="286"/>
      <c r="HV22" s="286"/>
      <c r="HW22" s="286"/>
      <c r="HX22" s="286"/>
      <c r="HY22" s="286"/>
      <c r="HZ22" s="286"/>
      <c r="IA22" s="286"/>
      <c r="IB22" s="286"/>
      <c r="IC22" s="286"/>
      <c r="ID22" s="286"/>
      <c r="IE22" s="286"/>
      <c r="IF22" s="286"/>
      <c r="IG22" s="286"/>
      <c r="IH22" s="286"/>
      <c r="II22" s="286"/>
      <c r="IJ22" s="286"/>
      <c r="IK22" s="286"/>
      <c r="IL22" s="286"/>
      <c r="IM22" s="286"/>
      <c r="IN22" s="286"/>
      <c r="IO22" s="286"/>
      <c r="IP22" s="286"/>
      <c r="IQ22" s="286"/>
      <c r="IR22" s="286"/>
      <c r="IS22" s="286"/>
      <c r="IT22" s="286"/>
      <c r="IU22" s="286"/>
      <c r="IV22" s="286"/>
      <c r="IW22" s="286"/>
    </row>
    <row r="23" spans="1:257" ht="13.5" customHeight="1" x14ac:dyDescent="0.15">
      <c r="A23" s="277" t="s">
        <v>177</v>
      </c>
      <c r="B23" s="283"/>
      <c r="C23" s="283"/>
      <c r="D23" s="567"/>
      <c r="E23" s="568">
        <f t="shared" ref="E23:M23" si="10">E20-E21-E22</f>
        <v>6035334.6578312498</v>
      </c>
      <c r="F23" s="568">
        <f t="shared" si="10"/>
        <v>6558853.364059859</v>
      </c>
      <c r="G23" s="576">
        <f t="shared" si="10"/>
        <v>7127785.6877791509</v>
      </c>
      <c r="H23" s="576">
        <f t="shared" si="10"/>
        <v>7746071.2032399355</v>
      </c>
      <c r="I23" s="576">
        <f t="shared" si="10"/>
        <v>8417991.2407616153</v>
      </c>
      <c r="J23" s="577">
        <f t="shared" si="10"/>
        <v>9148198.5340011865</v>
      </c>
      <c r="K23" s="577">
        <f t="shared" si="10"/>
        <v>9941749.4391203988</v>
      </c>
      <c r="L23" s="577">
        <f t="shared" si="10"/>
        <v>10804138.948963126</v>
      </c>
      <c r="M23" s="577">
        <f t="shared" si="10"/>
        <v>11741338.744709998</v>
      </c>
      <c r="N23" s="7"/>
      <c r="O23" s="4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ht="18" customHeight="1" x14ac:dyDescent="0.15">
      <c r="A24" s="92" t="s">
        <v>106</v>
      </c>
      <c r="B24" s="280"/>
      <c r="C24" s="280"/>
      <c r="D24" s="554"/>
      <c r="E24" s="630"/>
      <c r="F24" s="555"/>
      <c r="G24" s="556"/>
      <c r="H24" s="556"/>
      <c r="I24" s="556"/>
      <c r="J24" s="557"/>
      <c r="K24" s="557"/>
      <c r="L24" s="557"/>
      <c r="M24" s="557"/>
      <c r="N24" s="7"/>
      <c r="O24" s="4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ht="13.5" customHeight="1" x14ac:dyDescent="0.15">
      <c r="A25" s="1" t="s">
        <v>320</v>
      </c>
      <c r="B25" s="267"/>
      <c r="C25" s="44"/>
      <c r="D25" s="660">
        <v>1</v>
      </c>
      <c r="E25" s="661"/>
      <c r="F25" s="596"/>
      <c r="G25" s="582"/>
      <c r="H25" s="582"/>
      <c r="I25" s="582"/>
      <c r="J25" s="581"/>
      <c r="K25" s="581"/>
      <c r="L25" s="581"/>
      <c r="M25" s="581"/>
      <c r="N25" s="7"/>
      <c r="O25" s="4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ht="13.5" customHeight="1" x14ac:dyDescent="0.15">
      <c r="A26" s="1" t="s">
        <v>335</v>
      </c>
      <c r="B26" s="267"/>
      <c r="C26" s="44"/>
      <c r="D26" s="523">
        <f>D25</f>
        <v>1</v>
      </c>
      <c r="E26" s="524">
        <f t="shared" ref="E26:M26" si="11">D26+E25</f>
        <v>1</v>
      </c>
      <c r="F26" s="524">
        <f t="shared" si="11"/>
        <v>1</v>
      </c>
      <c r="G26" s="525">
        <f t="shared" si="11"/>
        <v>1</v>
      </c>
      <c r="H26" s="525">
        <f t="shared" si="11"/>
        <v>1</v>
      </c>
      <c r="I26" s="525">
        <f t="shared" si="11"/>
        <v>1</v>
      </c>
      <c r="J26" s="522">
        <f t="shared" si="11"/>
        <v>1</v>
      </c>
      <c r="K26" s="522">
        <f t="shared" si="11"/>
        <v>1</v>
      </c>
      <c r="L26" s="522">
        <f t="shared" si="11"/>
        <v>1</v>
      </c>
      <c r="M26" s="522">
        <f t="shared" si="11"/>
        <v>1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1" t="s">
        <v>335</v>
      </c>
      <c r="AB26" s="267"/>
      <c r="AC26" s="44"/>
      <c r="AD26" s="523">
        <f>AD25</f>
        <v>0</v>
      </c>
      <c r="AE26" s="524">
        <f t="shared" ref="AE26:AM26" si="12">AD26+AE25</f>
        <v>0</v>
      </c>
      <c r="AF26" s="524">
        <f t="shared" si="12"/>
        <v>0</v>
      </c>
      <c r="AG26" s="525">
        <f t="shared" si="12"/>
        <v>0</v>
      </c>
      <c r="AH26" s="525">
        <f t="shared" si="12"/>
        <v>0</v>
      </c>
      <c r="AI26" s="525">
        <f t="shared" si="12"/>
        <v>0</v>
      </c>
      <c r="AJ26" s="522">
        <f t="shared" si="12"/>
        <v>0</v>
      </c>
      <c r="AK26" s="522">
        <f t="shared" si="12"/>
        <v>0</v>
      </c>
      <c r="AL26" s="522">
        <f t="shared" si="12"/>
        <v>0</v>
      </c>
      <c r="AM26" s="522">
        <f t="shared" si="12"/>
        <v>0</v>
      </c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1" t="s">
        <v>335</v>
      </c>
      <c r="BB26" s="267"/>
      <c r="BC26" s="44"/>
      <c r="BD26" s="523">
        <f>BD25</f>
        <v>0</v>
      </c>
      <c r="BE26" s="524">
        <f t="shared" ref="BE26:BM26" si="13">BD26+BE25</f>
        <v>0</v>
      </c>
      <c r="BF26" s="524">
        <f t="shared" si="13"/>
        <v>0</v>
      </c>
      <c r="BG26" s="525">
        <f t="shared" si="13"/>
        <v>0</v>
      </c>
      <c r="BH26" s="525">
        <f t="shared" si="13"/>
        <v>0</v>
      </c>
      <c r="BI26" s="525">
        <f t="shared" si="13"/>
        <v>0</v>
      </c>
      <c r="BJ26" s="522">
        <f t="shared" si="13"/>
        <v>0</v>
      </c>
      <c r="BK26" s="522">
        <f t="shared" si="13"/>
        <v>0</v>
      </c>
      <c r="BL26" s="522">
        <f t="shared" si="13"/>
        <v>0</v>
      </c>
      <c r="BM26" s="522">
        <f t="shared" si="13"/>
        <v>0</v>
      </c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1" t="s">
        <v>335</v>
      </c>
      <c r="CB26" s="267"/>
      <c r="CC26" s="44"/>
      <c r="CD26" s="523">
        <f>CD25</f>
        <v>0</v>
      </c>
      <c r="CE26" s="524">
        <f t="shared" ref="CE26:CM26" si="14">CD26+CE25</f>
        <v>0</v>
      </c>
      <c r="CF26" s="524">
        <f t="shared" si="14"/>
        <v>0</v>
      </c>
      <c r="CG26" s="525">
        <f t="shared" si="14"/>
        <v>0</v>
      </c>
      <c r="CH26" s="525">
        <f t="shared" si="14"/>
        <v>0</v>
      </c>
      <c r="CI26" s="525">
        <f t="shared" si="14"/>
        <v>0</v>
      </c>
      <c r="CJ26" s="522">
        <f t="shared" si="14"/>
        <v>0</v>
      </c>
      <c r="CK26" s="522">
        <f t="shared" si="14"/>
        <v>0</v>
      </c>
      <c r="CL26" s="522">
        <f t="shared" si="14"/>
        <v>0</v>
      </c>
      <c r="CM26" s="522">
        <f t="shared" si="14"/>
        <v>0</v>
      </c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1" t="s">
        <v>335</v>
      </c>
      <c r="DB26" s="267"/>
      <c r="DC26" s="44"/>
      <c r="DD26" s="523">
        <f>DD25</f>
        <v>0</v>
      </c>
      <c r="DE26" s="524">
        <f t="shared" ref="DE26:DM26" si="15">DD26+DE25</f>
        <v>0</v>
      </c>
      <c r="DF26" s="524">
        <f t="shared" si="15"/>
        <v>0</v>
      </c>
      <c r="DG26" s="525">
        <f t="shared" si="15"/>
        <v>0</v>
      </c>
      <c r="DH26" s="525">
        <f t="shared" si="15"/>
        <v>0</v>
      </c>
      <c r="DI26" s="525">
        <f t="shared" si="15"/>
        <v>0</v>
      </c>
      <c r="DJ26" s="522">
        <f t="shared" si="15"/>
        <v>0</v>
      </c>
      <c r="DK26" s="522">
        <f t="shared" si="15"/>
        <v>0</v>
      </c>
      <c r="DL26" s="522">
        <f t="shared" si="15"/>
        <v>0</v>
      </c>
      <c r="DM26" s="522">
        <f t="shared" si="15"/>
        <v>0</v>
      </c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1" t="s">
        <v>335</v>
      </c>
      <c r="EB26" s="267"/>
      <c r="EC26" s="44"/>
      <c r="ED26" s="523">
        <f>ED25</f>
        <v>0</v>
      </c>
      <c r="EE26" s="524">
        <f t="shared" ref="EE26:EM26" si="16">ED26+EE25</f>
        <v>0</v>
      </c>
      <c r="EF26" s="524">
        <f t="shared" si="16"/>
        <v>0</v>
      </c>
      <c r="EG26" s="525">
        <f t="shared" si="16"/>
        <v>0</v>
      </c>
      <c r="EH26" s="525">
        <f t="shared" si="16"/>
        <v>0</v>
      </c>
      <c r="EI26" s="525">
        <f t="shared" si="16"/>
        <v>0</v>
      </c>
      <c r="EJ26" s="522">
        <f t="shared" si="16"/>
        <v>0</v>
      </c>
      <c r="EK26" s="522">
        <f t="shared" si="16"/>
        <v>0</v>
      </c>
      <c r="EL26" s="522">
        <f t="shared" si="16"/>
        <v>0</v>
      </c>
      <c r="EM26" s="522">
        <f t="shared" si="16"/>
        <v>0</v>
      </c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1" t="s">
        <v>335</v>
      </c>
      <c r="FB26" s="267"/>
      <c r="FC26" s="44"/>
      <c r="FD26" s="523">
        <f>FD25</f>
        <v>0</v>
      </c>
      <c r="FE26" s="524">
        <f t="shared" ref="FE26:FM26" si="17">FD26+FE25</f>
        <v>0</v>
      </c>
      <c r="FF26" s="524">
        <f t="shared" si="17"/>
        <v>0</v>
      </c>
      <c r="FG26" s="525">
        <f t="shared" si="17"/>
        <v>0</v>
      </c>
      <c r="FH26" s="525">
        <f t="shared" si="17"/>
        <v>0</v>
      </c>
      <c r="FI26" s="525">
        <f t="shared" si="17"/>
        <v>0</v>
      </c>
      <c r="FJ26" s="522">
        <f t="shared" si="17"/>
        <v>0</v>
      </c>
      <c r="FK26" s="522">
        <f t="shared" si="17"/>
        <v>0</v>
      </c>
      <c r="FL26" s="522">
        <f t="shared" si="17"/>
        <v>0</v>
      </c>
      <c r="FM26" s="522">
        <f t="shared" si="17"/>
        <v>0</v>
      </c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1" t="s">
        <v>335</v>
      </c>
      <c r="GB26" s="267"/>
      <c r="GC26" s="44"/>
      <c r="GD26" s="523">
        <f>GD25</f>
        <v>0</v>
      </c>
      <c r="GE26" s="524">
        <f t="shared" ref="GE26:GM26" si="18">GD26+GE25</f>
        <v>0</v>
      </c>
      <c r="GF26" s="524">
        <f t="shared" si="18"/>
        <v>0</v>
      </c>
      <c r="GG26" s="525">
        <f t="shared" si="18"/>
        <v>0</v>
      </c>
      <c r="GH26" s="525">
        <f t="shared" si="18"/>
        <v>0</v>
      </c>
      <c r="GI26" s="525">
        <f t="shared" si="18"/>
        <v>0</v>
      </c>
      <c r="GJ26" s="522">
        <f t="shared" si="18"/>
        <v>0</v>
      </c>
      <c r="GK26" s="522">
        <f t="shared" si="18"/>
        <v>0</v>
      </c>
      <c r="GL26" s="522">
        <f t="shared" si="18"/>
        <v>0</v>
      </c>
      <c r="GM26" s="522">
        <f t="shared" si="18"/>
        <v>0</v>
      </c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1" t="s">
        <v>335</v>
      </c>
      <c r="HB26" s="267"/>
      <c r="HC26" s="44"/>
      <c r="HD26" s="523">
        <f>HD25</f>
        <v>0</v>
      </c>
      <c r="HE26" s="524">
        <f t="shared" ref="HE26:HM26" si="19">HD26+HE25</f>
        <v>0</v>
      </c>
      <c r="HF26" s="524">
        <f t="shared" si="19"/>
        <v>0</v>
      </c>
      <c r="HG26" s="525">
        <f t="shared" si="19"/>
        <v>0</v>
      </c>
      <c r="HH26" s="525">
        <f t="shared" si="19"/>
        <v>0</v>
      </c>
      <c r="HI26" s="525">
        <f t="shared" si="19"/>
        <v>0</v>
      </c>
      <c r="HJ26" s="522">
        <f t="shared" si="19"/>
        <v>0</v>
      </c>
      <c r="HK26" s="522">
        <f t="shared" si="19"/>
        <v>0</v>
      </c>
      <c r="HL26" s="522">
        <f t="shared" si="19"/>
        <v>0</v>
      </c>
      <c r="HM26" s="522">
        <f t="shared" si="19"/>
        <v>0</v>
      </c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7"/>
    </row>
    <row r="27" spans="1:257" ht="13.5" customHeight="1" x14ac:dyDescent="0.15">
      <c r="A27" s="1" t="s">
        <v>55</v>
      </c>
      <c r="B27" s="662">
        <f>'Project Data'!B97</f>
        <v>180</v>
      </c>
      <c r="C27" s="662">
        <f>B27</f>
        <v>180</v>
      </c>
      <c r="D27" s="513">
        <f>C27*(1+$B$6)</f>
        <v>186.29999999999998</v>
      </c>
      <c r="E27" s="563"/>
      <c r="F27" s="593"/>
      <c r="G27" s="594"/>
      <c r="H27" s="594"/>
      <c r="I27" s="594"/>
      <c r="J27" s="595"/>
      <c r="K27" s="595"/>
      <c r="L27" s="595"/>
      <c r="M27" s="595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 t="s">
        <v>56</v>
      </c>
      <c r="AP27" s="4" t="s">
        <v>56</v>
      </c>
      <c r="AQ27" s="4" t="s">
        <v>56</v>
      </c>
      <c r="AR27" s="4" t="s">
        <v>56</v>
      </c>
      <c r="AS27" s="4" t="s">
        <v>56</v>
      </c>
      <c r="AT27" s="4" t="s">
        <v>56</v>
      </c>
      <c r="AU27" s="4" t="s">
        <v>56</v>
      </c>
      <c r="AV27" s="4" t="s">
        <v>56</v>
      </c>
      <c r="AW27" s="4" t="s">
        <v>56</v>
      </c>
      <c r="AX27" s="4" t="s">
        <v>56</v>
      </c>
      <c r="AY27" s="4" t="s">
        <v>56</v>
      </c>
      <c r="AZ27" s="4" t="s">
        <v>56</v>
      </c>
      <c r="BA27" s="4" t="s">
        <v>56</v>
      </c>
      <c r="BB27" s="4" t="s">
        <v>56</v>
      </c>
      <c r="BC27" s="4" t="s">
        <v>56</v>
      </c>
      <c r="BD27" s="4" t="s">
        <v>56</v>
      </c>
      <c r="BE27" s="4" t="s">
        <v>56</v>
      </c>
      <c r="BF27" s="4" t="s">
        <v>56</v>
      </c>
      <c r="BG27" s="4" t="s">
        <v>56</v>
      </c>
      <c r="BH27" s="4" t="s">
        <v>56</v>
      </c>
      <c r="BI27" s="4" t="s">
        <v>56</v>
      </c>
      <c r="BJ27" s="4" t="s">
        <v>56</v>
      </c>
      <c r="BK27" s="4" t="s">
        <v>56</v>
      </c>
      <c r="BL27" s="4" t="s">
        <v>56</v>
      </c>
      <c r="BM27" s="4" t="s">
        <v>56</v>
      </c>
      <c r="BN27" s="4" t="s">
        <v>56</v>
      </c>
      <c r="BO27" s="4" t="s">
        <v>56</v>
      </c>
      <c r="BP27" s="4" t="s">
        <v>56</v>
      </c>
      <c r="BQ27" s="4" t="s">
        <v>56</v>
      </c>
      <c r="BR27" s="4" t="s">
        <v>56</v>
      </c>
      <c r="BS27" s="4" t="s">
        <v>56</v>
      </c>
      <c r="BT27" s="4" t="s">
        <v>56</v>
      </c>
      <c r="BU27" s="4" t="s">
        <v>56</v>
      </c>
      <c r="BV27" s="4" t="s">
        <v>56</v>
      </c>
      <c r="BW27" s="4" t="s">
        <v>56</v>
      </c>
      <c r="BX27" s="4" t="s">
        <v>56</v>
      </c>
      <c r="BY27" s="4" t="s">
        <v>56</v>
      </c>
      <c r="BZ27" s="4" t="s">
        <v>56</v>
      </c>
      <c r="CA27" s="4" t="s">
        <v>56</v>
      </c>
      <c r="CB27" s="4" t="s">
        <v>56</v>
      </c>
      <c r="CC27" s="4" t="s">
        <v>56</v>
      </c>
      <c r="CD27" s="4" t="s">
        <v>56</v>
      </c>
      <c r="CE27" s="4" t="s">
        <v>56</v>
      </c>
      <c r="CF27" s="4" t="s">
        <v>56</v>
      </c>
      <c r="CG27" s="4" t="s">
        <v>56</v>
      </c>
      <c r="CH27" s="4" t="s">
        <v>56</v>
      </c>
      <c r="CI27" s="4" t="s">
        <v>56</v>
      </c>
      <c r="CJ27" s="4" t="s">
        <v>56</v>
      </c>
      <c r="CK27" s="4" t="s">
        <v>56</v>
      </c>
      <c r="CL27" s="4" t="s">
        <v>56</v>
      </c>
      <c r="CM27" s="4" t="s">
        <v>56</v>
      </c>
      <c r="CN27" s="4" t="s">
        <v>56</v>
      </c>
      <c r="CO27" s="4" t="s">
        <v>56</v>
      </c>
      <c r="CP27" s="4" t="s">
        <v>56</v>
      </c>
      <c r="CQ27" s="4" t="s">
        <v>56</v>
      </c>
      <c r="CR27" s="4" t="s">
        <v>56</v>
      </c>
      <c r="CS27" s="4" t="s">
        <v>56</v>
      </c>
      <c r="CT27" s="4" t="s">
        <v>56</v>
      </c>
      <c r="CU27" s="4" t="s">
        <v>56</v>
      </c>
      <c r="CV27" s="4" t="s">
        <v>56</v>
      </c>
      <c r="CW27" s="4" t="s">
        <v>56</v>
      </c>
      <c r="CX27" s="4" t="s">
        <v>56</v>
      </c>
      <c r="CY27" s="4" t="s">
        <v>56</v>
      </c>
      <c r="CZ27" s="4" t="s">
        <v>56</v>
      </c>
      <c r="DA27" s="4" t="s">
        <v>56</v>
      </c>
      <c r="DB27" s="4" t="s">
        <v>56</v>
      </c>
      <c r="DC27" s="4" t="s">
        <v>56</v>
      </c>
      <c r="DD27" s="4" t="s">
        <v>56</v>
      </c>
      <c r="DE27" s="4" t="s">
        <v>56</v>
      </c>
      <c r="DF27" s="4" t="s">
        <v>56</v>
      </c>
      <c r="DG27" s="4" t="s">
        <v>56</v>
      </c>
      <c r="DH27" s="4" t="s">
        <v>56</v>
      </c>
      <c r="DI27" s="4" t="s">
        <v>56</v>
      </c>
      <c r="DJ27" s="4" t="s">
        <v>56</v>
      </c>
      <c r="DK27" s="4" t="s">
        <v>56</v>
      </c>
      <c r="DL27" s="4" t="s">
        <v>56</v>
      </c>
      <c r="DM27" s="4" t="s">
        <v>56</v>
      </c>
      <c r="DN27" s="4" t="s">
        <v>56</v>
      </c>
      <c r="DO27" s="4" t="s">
        <v>56</v>
      </c>
      <c r="DP27" s="4" t="s">
        <v>56</v>
      </c>
      <c r="DQ27" s="4" t="s">
        <v>56</v>
      </c>
      <c r="DR27" s="4" t="s">
        <v>56</v>
      </c>
      <c r="DS27" s="4" t="s">
        <v>56</v>
      </c>
      <c r="DT27" s="4" t="s">
        <v>56</v>
      </c>
      <c r="DU27" s="4" t="s">
        <v>56</v>
      </c>
      <c r="DV27" s="4" t="s">
        <v>56</v>
      </c>
      <c r="DW27" s="4" t="s">
        <v>56</v>
      </c>
      <c r="DX27" s="4" t="s">
        <v>56</v>
      </c>
      <c r="DY27" s="4" t="s">
        <v>56</v>
      </c>
      <c r="DZ27" s="4" t="s">
        <v>56</v>
      </c>
      <c r="EA27" s="4" t="s">
        <v>56</v>
      </c>
      <c r="EB27" s="4" t="s">
        <v>56</v>
      </c>
      <c r="EC27" s="4" t="s">
        <v>56</v>
      </c>
      <c r="ED27" s="4" t="s">
        <v>56</v>
      </c>
      <c r="EE27" s="4" t="s">
        <v>56</v>
      </c>
      <c r="EF27" s="4" t="s">
        <v>56</v>
      </c>
      <c r="EG27" s="4" t="s">
        <v>56</v>
      </c>
      <c r="EH27" s="4" t="s">
        <v>56</v>
      </c>
      <c r="EI27" s="4" t="s">
        <v>56</v>
      </c>
      <c r="EJ27" s="4" t="s">
        <v>56</v>
      </c>
      <c r="EK27" s="4" t="s">
        <v>56</v>
      </c>
      <c r="EL27" s="4" t="s">
        <v>56</v>
      </c>
      <c r="EM27" s="4" t="s">
        <v>56</v>
      </c>
      <c r="EN27" s="4" t="s">
        <v>56</v>
      </c>
      <c r="EO27" s="4" t="s">
        <v>56</v>
      </c>
      <c r="EP27" s="4" t="s">
        <v>56</v>
      </c>
      <c r="EQ27" s="4" t="s">
        <v>56</v>
      </c>
      <c r="ER27" s="4" t="s">
        <v>56</v>
      </c>
      <c r="ES27" s="4" t="s">
        <v>56</v>
      </c>
      <c r="ET27" s="4" t="s">
        <v>56</v>
      </c>
      <c r="EU27" s="4" t="s">
        <v>56</v>
      </c>
      <c r="EV27" s="4" t="s">
        <v>56</v>
      </c>
      <c r="EW27" s="4" t="s">
        <v>56</v>
      </c>
      <c r="EX27" s="4" t="s">
        <v>56</v>
      </c>
      <c r="EY27" s="4" t="s">
        <v>56</v>
      </c>
      <c r="EZ27" s="4" t="s">
        <v>56</v>
      </c>
      <c r="FA27" s="4" t="s">
        <v>56</v>
      </c>
      <c r="FB27" s="4" t="s">
        <v>56</v>
      </c>
      <c r="FC27" s="4" t="s">
        <v>56</v>
      </c>
      <c r="FD27" s="4" t="s">
        <v>56</v>
      </c>
      <c r="FE27" s="4" t="s">
        <v>56</v>
      </c>
      <c r="FF27" s="4" t="s">
        <v>56</v>
      </c>
      <c r="FG27" s="4" t="s">
        <v>56</v>
      </c>
      <c r="FH27" s="4" t="s">
        <v>56</v>
      </c>
      <c r="FI27" s="4" t="s">
        <v>56</v>
      </c>
      <c r="FJ27" s="4" t="s">
        <v>56</v>
      </c>
      <c r="FK27" s="4" t="s">
        <v>56</v>
      </c>
      <c r="FL27" s="4" t="s">
        <v>56</v>
      </c>
      <c r="FM27" s="4" t="s">
        <v>56</v>
      </c>
      <c r="FN27" s="4" t="s">
        <v>56</v>
      </c>
      <c r="FO27" s="4" t="s">
        <v>56</v>
      </c>
      <c r="FP27" s="4" t="s">
        <v>56</v>
      </c>
      <c r="FQ27" s="4" t="s">
        <v>56</v>
      </c>
      <c r="FR27" s="4" t="s">
        <v>56</v>
      </c>
      <c r="FS27" s="4" t="s">
        <v>56</v>
      </c>
      <c r="FT27" s="4" t="s">
        <v>56</v>
      </c>
      <c r="FU27" s="4" t="s">
        <v>56</v>
      </c>
      <c r="FV27" s="4" t="s">
        <v>56</v>
      </c>
      <c r="FW27" s="4" t="s">
        <v>56</v>
      </c>
      <c r="FX27" s="4" t="s">
        <v>56</v>
      </c>
      <c r="FY27" s="4" t="s">
        <v>56</v>
      </c>
      <c r="FZ27" s="4" t="s">
        <v>56</v>
      </c>
      <c r="GA27" s="4" t="s">
        <v>56</v>
      </c>
      <c r="GB27" s="4" t="s">
        <v>56</v>
      </c>
      <c r="GC27" s="4" t="s">
        <v>56</v>
      </c>
      <c r="GD27" s="4" t="s">
        <v>56</v>
      </c>
      <c r="GE27" s="4" t="s">
        <v>56</v>
      </c>
      <c r="GF27" s="4" t="s">
        <v>56</v>
      </c>
      <c r="GG27" s="4" t="s">
        <v>56</v>
      </c>
      <c r="GH27" s="4" t="s">
        <v>56</v>
      </c>
      <c r="GI27" s="4" t="s">
        <v>56</v>
      </c>
      <c r="GJ27" s="4" t="s">
        <v>56</v>
      </c>
      <c r="GK27" s="4" t="s">
        <v>56</v>
      </c>
      <c r="GL27" s="4" t="s">
        <v>56</v>
      </c>
      <c r="GM27" s="4" t="s">
        <v>56</v>
      </c>
      <c r="GN27" s="4" t="s">
        <v>56</v>
      </c>
      <c r="GO27" s="4" t="s">
        <v>56</v>
      </c>
      <c r="GP27" s="4" t="s">
        <v>56</v>
      </c>
      <c r="GQ27" s="4" t="s">
        <v>56</v>
      </c>
      <c r="GR27" s="4" t="s">
        <v>56</v>
      </c>
      <c r="GS27" s="4" t="s">
        <v>56</v>
      </c>
      <c r="GT27" s="4" t="s">
        <v>56</v>
      </c>
      <c r="GU27" s="4" t="s">
        <v>56</v>
      </c>
      <c r="GV27" s="4" t="s">
        <v>56</v>
      </c>
      <c r="GW27" s="4" t="s">
        <v>56</v>
      </c>
      <c r="GX27" s="4" t="s">
        <v>56</v>
      </c>
      <c r="GY27" s="4" t="s">
        <v>56</v>
      </c>
      <c r="GZ27" s="4" t="s">
        <v>56</v>
      </c>
      <c r="HA27" s="4" t="s">
        <v>56</v>
      </c>
      <c r="HB27" s="4" t="s">
        <v>56</v>
      </c>
      <c r="HC27" s="4" t="s">
        <v>56</v>
      </c>
      <c r="HD27" s="4" t="s">
        <v>56</v>
      </c>
      <c r="HE27" s="4" t="s">
        <v>56</v>
      </c>
      <c r="HF27" s="4" t="s">
        <v>56</v>
      </c>
      <c r="HG27" s="4" t="s">
        <v>56</v>
      </c>
      <c r="HH27" s="4" t="s">
        <v>56</v>
      </c>
      <c r="HI27" s="4" t="s">
        <v>56</v>
      </c>
      <c r="HJ27" s="4" t="s">
        <v>56</v>
      </c>
      <c r="HK27" s="4" t="s">
        <v>56</v>
      </c>
      <c r="HL27" s="4" t="s">
        <v>56</v>
      </c>
      <c r="HM27" s="4" t="s">
        <v>56</v>
      </c>
      <c r="HN27" s="4" t="s">
        <v>56</v>
      </c>
      <c r="HO27" s="4" t="s">
        <v>56</v>
      </c>
      <c r="HP27" s="4" t="s">
        <v>56</v>
      </c>
      <c r="HQ27" s="4" t="s">
        <v>56</v>
      </c>
      <c r="HR27" s="4" t="s">
        <v>56</v>
      </c>
      <c r="HS27" s="4" t="s">
        <v>56</v>
      </c>
      <c r="HT27" s="4" t="s">
        <v>56</v>
      </c>
      <c r="HU27" s="4" t="s">
        <v>56</v>
      </c>
      <c r="HV27" s="4" t="s">
        <v>56</v>
      </c>
      <c r="HW27" s="4" t="s">
        <v>56</v>
      </c>
      <c r="HX27" s="4" t="s">
        <v>56</v>
      </c>
      <c r="HY27" s="4" t="s">
        <v>56</v>
      </c>
      <c r="HZ27" s="4" t="s">
        <v>56</v>
      </c>
      <c r="IA27" s="4" t="s">
        <v>56</v>
      </c>
      <c r="IB27" s="4" t="s">
        <v>56</v>
      </c>
      <c r="IC27" s="4" t="s">
        <v>56</v>
      </c>
      <c r="ID27" s="4" t="s">
        <v>56</v>
      </c>
      <c r="IE27" s="4" t="s">
        <v>56</v>
      </c>
      <c r="IF27" s="4" t="s">
        <v>56</v>
      </c>
      <c r="IG27" s="4" t="s">
        <v>56</v>
      </c>
      <c r="IH27" s="4" t="s">
        <v>56</v>
      </c>
      <c r="II27" s="4" t="s">
        <v>56</v>
      </c>
      <c r="IJ27" s="4" t="s">
        <v>56</v>
      </c>
      <c r="IK27" s="4" t="s">
        <v>56</v>
      </c>
      <c r="IL27" s="4" t="s">
        <v>56</v>
      </c>
      <c r="IM27" s="4" t="s">
        <v>56</v>
      </c>
      <c r="IN27" s="4" t="s">
        <v>56</v>
      </c>
      <c r="IO27" s="4" t="s">
        <v>56</v>
      </c>
      <c r="IP27" s="4" t="s">
        <v>56</v>
      </c>
      <c r="IQ27" s="4" t="s">
        <v>56</v>
      </c>
      <c r="IR27" s="4" t="s">
        <v>56</v>
      </c>
      <c r="IS27" s="4" t="s">
        <v>56</v>
      </c>
      <c r="IT27" s="4" t="s">
        <v>56</v>
      </c>
      <c r="IU27" s="4" t="s">
        <v>56</v>
      </c>
      <c r="IV27" s="4" t="s">
        <v>56</v>
      </c>
      <c r="IW27" s="7"/>
    </row>
    <row r="28" spans="1:257" ht="13.5" customHeight="1" x14ac:dyDescent="0.15">
      <c r="A28" s="1" t="s">
        <v>395</v>
      </c>
      <c r="B28" s="16"/>
      <c r="C28" s="16"/>
      <c r="D28" s="572">
        <f>-D27*$B$9*D25</f>
        <v>-27061192.799999997</v>
      </c>
      <c r="E28" s="663"/>
      <c r="F28" s="630"/>
      <c r="G28" s="631"/>
      <c r="H28" s="631"/>
      <c r="I28" s="631"/>
      <c r="J28" s="632"/>
      <c r="K28" s="632"/>
      <c r="L28" s="632"/>
      <c r="M28" s="632"/>
      <c r="N28" s="7"/>
      <c r="O28" s="4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ht="13.5" customHeight="1" x14ac:dyDescent="0.15">
      <c r="A29" s="1" t="s">
        <v>56</v>
      </c>
      <c r="B29" s="471">
        <v>0.2</v>
      </c>
      <c r="C29" s="267"/>
      <c r="D29" s="572">
        <f>$B$29*D28</f>
        <v>-5412238.5599999996</v>
      </c>
      <c r="E29" s="663"/>
      <c r="F29" s="596"/>
      <c r="G29" s="582"/>
      <c r="H29" s="582"/>
      <c r="I29" s="582"/>
      <c r="J29" s="581"/>
      <c r="K29" s="581"/>
      <c r="L29" s="581"/>
      <c r="M29" s="581"/>
      <c r="N29" s="7"/>
      <c r="O29" s="4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ht="13.5" customHeight="1" x14ac:dyDescent="0.15">
      <c r="A30" s="277" t="s">
        <v>170</v>
      </c>
      <c r="B30" s="283"/>
      <c r="C30" s="283"/>
      <c r="D30" s="572">
        <f>SUM(D28+D29)</f>
        <v>-32473431.359999996</v>
      </c>
      <c r="E30" s="584"/>
      <c r="F30" s="607"/>
      <c r="G30" s="585"/>
      <c r="H30" s="585"/>
      <c r="I30" s="585"/>
      <c r="J30" s="586"/>
      <c r="K30" s="586"/>
      <c r="L30" s="586"/>
      <c r="M30" s="586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ht="18" customHeight="1" x14ac:dyDescent="0.15">
      <c r="A31" s="92" t="s">
        <v>174</v>
      </c>
      <c r="B31" s="280"/>
      <c r="C31" s="280"/>
      <c r="D31" s="554"/>
      <c r="E31" s="555"/>
      <c r="F31" s="555"/>
      <c r="G31" s="556"/>
      <c r="H31" s="556"/>
      <c r="I31" s="556"/>
      <c r="J31" s="557"/>
      <c r="K31" s="557"/>
      <c r="L31" s="557"/>
      <c r="M31" s="557"/>
      <c r="N31" s="4"/>
      <c r="O31" s="4"/>
      <c r="P31" s="4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ht="13.5" customHeight="1" x14ac:dyDescent="0.15">
      <c r="A32" s="1" t="s">
        <v>177</v>
      </c>
      <c r="B32" s="587"/>
      <c r="C32" s="587"/>
      <c r="D32" s="588"/>
      <c r="E32" s="589">
        <f t="shared" ref="E32:L32" si="20">E23</f>
        <v>6035334.6578312498</v>
      </c>
      <c r="F32" s="589">
        <f t="shared" si="20"/>
        <v>6558853.364059859</v>
      </c>
      <c r="G32" s="590">
        <f t="shared" si="20"/>
        <v>7127785.6877791509</v>
      </c>
      <c r="H32" s="590">
        <f t="shared" si="20"/>
        <v>7746071.2032399355</v>
      </c>
      <c r="I32" s="657">
        <f t="shared" si="20"/>
        <v>8417991.2407616153</v>
      </c>
      <c r="J32" s="658">
        <f t="shared" si="20"/>
        <v>9148198.5340011865</v>
      </c>
      <c r="K32" s="658">
        <f t="shared" si="20"/>
        <v>9941749.4391203988</v>
      </c>
      <c r="L32" s="658">
        <f t="shared" si="20"/>
        <v>10804138.948963126</v>
      </c>
      <c r="M32" s="591"/>
      <c r="N32" s="4"/>
      <c r="O32" s="4"/>
      <c r="P32" s="4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ht="13.5" customHeight="1" x14ac:dyDescent="0.15">
      <c r="A33" s="1" t="s">
        <v>324</v>
      </c>
      <c r="B33" s="44">
        <v>0.1</v>
      </c>
      <c r="C33" s="44"/>
      <c r="D33" s="592"/>
      <c r="E33" s="596"/>
      <c r="F33" s="589"/>
      <c r="G33" s="590"/>
      <c r="H33" s="590"/>
      <c r="I33" s="590"/>
      <c r="J33" s="591"/>
      <c r="K33" s="591"/>
      <c r="L33" s="591">
        <f>L32/$B$7</f>
        <v>108041389.48963125</v>
      </c>
      <c r="M33" s="581"/>
      <c r="N33" s="4"/>
      <c r="O33" s="4"/>
      <c r="P33" s="4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ht="13.5" customHeight="1" x14ac:dyDescent="0.15">
      <c r="A34" s="1" t="s">
        <v>325</v>
      </c>
      <c r="B34" s="44">
        <v>0.06</v>
      </c>
      <c r="C34" s="44"/>
      <c r="D34" s="592"/>
      <c r="E34" s="596"/>
      <c r="F34" s="596"/>
      <c r="G34" s="582"/>
      <c r="H34" s="582"/>
      <c r="I34" s="582"/>
      <c r="J34" s="581"/>
      <c r="K34" s="581"/>
      <c r="L34" s="581">
        <f>B34*L33</f>
        <v>6482483.3693778748</v>
      </c>
      <c r="M34" s="581"/>
      <c r="N34" s="4"/>
      <c r="O34" s="4"/>
      <c r="P34" s="4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ht="13.5" customHeight="1" x14ac:dyDescent="0.15">
      <c r="A35" s="1" t="s">
        <v>170</v>
      </c>
      <c r="B35" s="44"/>
      <c r="C35" s="44"/>
      <c r="D35" s="572">
        <f t="shared" ref="D35:E35" si="21">D30</f>
        <v>-32473431.359999996</v>
      </c>
      <c r="E35" s="596">
        <f t="shared" si="21"/>
        <v>0</v>
      </c>
      <c r="F35" s="596"/>
      <c r="G35" s="582"/>
      <c r="H35" s="582"/>
      <c r="I35" s="582"/>
      <c r="J35" s="581"/>
      <c r="K35" s="581"/>
      <c r="L35" s="581"/>
      <c r="M35" s="581"/>
      <c r="N35" s="4"/>
      <c r="O35" s="4"/>
      <c r="P35" s="4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ht="13.5" customHeight="1" x14ac:dyDescent="0.15">
      <c r="A36" s="279" t="s">
        <v>326</v>
      </c>
      <c r="B36" s="282"/>
      <c r="C36" s="282"/>
      <c r="D36" s="610">
        <f t="shared" ref="D36:L36" si="22">SUM(D31:D35)</f>
        <v>-32473431.359999996</v>
      </c>
      <c r="E36" s="569">
        <f t="shared" si="22"/>
        <v>6035334.6578312498</v>
      </c>
      <c r="F36" s="569">
        <f t="shared" si="22"/>
        <v>6558853.364059859</v>
      </c>
      <c r="G36" s="570">
        <f t="shared" si="22"/>
        <v>7127785.6877791509</v>
      </c>
      <c r="H36" s="570">
        <f t="shared" si="22"/>
        <v>7746071.2032399355</v>
      </c>
      <c r="I36" s="570">
        <f t="shared" si="22"/>
        <v>8417991.2407616153</v>
      </c>
      <c r="J36" s="571">
        <f t="shared" si="22"/>
        <v>9148198.5340011865</v>
      </c>
      <c r="K36" s="571">
        <f t="shared" si="22"/>
        <v>9941749.4391203988</v>
      </c>
      <c r="L36" s="571">
        <f t="shared" si="22"/>
        <v>125328011.80797225</v>
      </c>
      <c r="M36" s="586"/>
      <c r="N36" s="4"/>
      <c r="O36" s="4"/>
      <c r="P36" s="4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ht="18" customHeight="1" x14ac:dyDescent="0.15">
      <c r="A37" s="92" t="s">
        <v>218</v>
      </c>
      <c r="B37" s="471"/>
      <c r="C37" s="471"/>
      <c r="D37" s="934">
        <f t="array" ref="D37">NPV(B7,D36:L36)</f>
        <v>57307836.319645934</v>
      </c>
      <c r="E37" s="51"/>
      <c r="F37" s="51"/>
      <c r="G37" s="51"/>
      <c r="H37" s="51"/>
      <c r="I37" s="51"/>
      <c r="J37" s="51"/>
      <c r="K37" s="51"/>
      <c r="L37" s="51"/>
      <c r="M37" s="51"/>
      <c r="N37" s="4"/>
      <c r="O37" s="4"/>
      <c r="P37" s="4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ht="18" customHeight="1" x14ac:dyDescent="0.15">
      <c r="A38" s="281" t="s">
        <v>224</v>
      </c>
      <c r="B38" s="283"/>
      <c r="C38" s="283"/>
      <c r="D38" s="935">
        <f>IRR(D36:L36,B7)</f>
        <v>0.32283511703331036</v>
      </c>
      <c r="E38" s="283"/>
      <c r="F38" s="283"/>
      <c r="G38" s="283"/>
      <c r="H38" s="283"/>
      <c r="I38" s="283"/>
      <c r="J38" s="283"/>
      <c r="K38" s="283"/>
      <c r="L38" s="283"/>
      <c r="M38" s="283"/>
      <c r="N38" s="4"/>
      <c r="O38" s="4"/>
      <c r="P38" s="4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ht="18" customHeight="1" x14ac:dyDescent="0.15">
      <c r="A39" s="281" t="s">
        <v>229</v>
      </c>
      <c r="B39" s="283"/>
      <c r="C39" s="2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4"/>
      <c r="O39" s="4"/>
      <c r="P39" s="4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ht="12.75" customHeight="1" x14ac:dyDescent="0.15">
      <c r="A40" s="7"/>
      <c r="B40" s="16"/>
      <c r="C40" s="16"/>
      <c r="D40" s="7"/>
      <c r="E40" s="7"/>
      <c r="F40" s="7"/>
      <c r="G40" s="7"/>
      <c r="H40" s="7"/>
      <c r="I40" s="7"/>
      <c r="J40" s="7"/>
      <c r="K40" s="7"/>
      <c r="L40" s="7"/>
      <c r="M40" s="7"/>
      <c r="N40" s="4"/>
      <c r="O40" s="4"/>
      <c r="P40" s="4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ht="12.75" customHeight="1" x14ac:dyDescent="0.15">
      <c r="A41" s="7"/>
      <c r="B41" s="16"/>
      <c r="C41" s="16"/>
      <c r="D41" s="7"/>
      <c r="E41" s="7"/>
      <c r="F41" s="7"/>
      <c r="G41" s="7"/>
      <c r="H41" s="7"/>
      <c r="I41" s="7"/>
      <c r="J41" s="7"/>
      <c r="K41" s="7"/>
      <c r="L41" s="7"/>
      <c r="M41" s="7"/>
      <c r="N41" s="4"/>
      <c r="O41" s="4"/>
      <c r="P41" s="4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4"/>
      <c r="O42" s="4"/>
      <c r="P42" s="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</row>
    <row r="108" spans="1:257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</row>
    <row r="109" spans="1:257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</row>
    <row r="110" spans="1:257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</row>
    <row r="111" spans="1:257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</row>
    <row r="112" spans="1:257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</row>
    <row r="113" spans="1:257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</row>
    <row r="114" spans="1:257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</row>
    <row r="115" spans="1:257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</row>
    <row r="116" spans="1:257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</row>
    <row r="117" spans="1:257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</row>
    <row r="118" spans="1:257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</row>
    <row r="119" spans="1:257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</row>
    <row r="120" spans="1:257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</row>
    <row r="121" spans="1:257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</row>
    <row r="122" spans="1:257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</row>
    <row r="123" spans="1:257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</row>
    <row r="124" spans="1:257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</row>
    <row r="125" spans="1:257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</row>
    <row r="126" spans="1:257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</row>
    <row r="127" spans="1:257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</row>
    <row r="128" spans="1:257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</row>
    <row r="129" spans="1:257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</row>
    <row r="130" spans="1:257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</row>
    <row r="131" spans="1:257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</row>
    <row r="132" spans="1:257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</row>
    <row r="133" spans="1:257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</row>
    <row r="134" spans="1:257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</row>
    <row r="135" spans="1:257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</row>
    <row r="136" spans="1:257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</row>
    <row r="137" spans="1:257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</row>
    <row r="138" spans="1:257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</row>
    <row r="139" spans="1:257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</row>
    <row r="140" spans="1:257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</row>
    <row r="141" spans="1:257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</row>
    <row r="142" spans="1:257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</row>
    <row r="143" spans="1:257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</row>
    <row r="144" spans="1:257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</row>
    <row r="145" spans="1:257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</row>
    <row r="146" spans="1:257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</row>
    <row r="147" spans="1:257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</row>
    <row r="148" spans="1:257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</row>
    <row r="149" spans="1:257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</row>
    <row r="150" spans="1:257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</row>
    <row r="151" spans="1:257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</row>
    <row r="152" spans="1:257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</row>
    <row r="153" spans="1:257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</row>
    <row r="154" spans="1:257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</row>
    <row r="155" spans="1:257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</row>
    <row r="156" spans="1:257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</row>
    <row r="157" spans="1:257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</row>
    <row r="158" spans="1:257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</row>
    <row r="159" spans="1:257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</row>
    <row r="160" spans="1:257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</row>
    <row r="161" spans="1:257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</row>
    <row r="162" spans="1:257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</row>
    <row r="163" spans="1:257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</row>
    <row r="164" spans="1:257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</row>
    <row r="165" spans="1:257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</row>
    <row r="166" spans="1:257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</row>
    <row r="167" spans="1:257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</row>
    <row r="168" spans="1:257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</row>
    <row r="169" spans="1:257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</row>
    <row r="170" spans="1:257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</row>
    <row r="171" spans="1:257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</row>
    <row r="172" spans="1:257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</row>
    <row r="173" spans="1:257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</row>
    <row r="174" spans="1:257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</row>
    <row r="175" spans="1:257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</row>
    <row r="176" spans="1:257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</row>
    <row r="177" spans="1:257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</row>
    <row r="178" spans="1:257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</row>
    <row r="179" spans="1:257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</row>
    <row r="180" spans="1:257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</row>
    <row r="181" spans="1:257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</row>
    <row r="182" spans="1:257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</row>
    <row r="183" spans="1:257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</row>
    <row r="184" spans="1:257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</row>
    <row r="185" spans="1:257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</row>
    <row r="186" spans="1:257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</row>
    <row r="187" spans="1:257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</row>
    <row r="188" spans="1:257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</row>
    <row r="189" spans="1:257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</row>
    <row r="190" spans="1:257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</row>
    <row r="191" spans="1:257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</row>
    <row r="192" spans="1:257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</row>
    <row r="193" spans="1:257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</row>
    <row r="194" spans="1:257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</row>
    <row r="195" spans="1:257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</row>
    <row r="196" spans="1:257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</row>
    <row r="197" spans="1:257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</row>
    <row r="198" spans="1:257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</row>
    <row r="199" spans="1:257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</row>
    <row r="200" spans="1:257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</row>
    <row r="201" spans="1:257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</row>
    <row r="202" spans="1:257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</row>
    <row r="203" spans="1:257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</row>
    <row r="204" spans="1:257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</row>
    <row r="205" spans="1:257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</row>
    <row r="206" spans="1:257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</row>
    <row r="207" spans="1:257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</row>
    <row r="208" spans="1:257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</row>
    <row r="209" spans="1:257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</row>
    <row r="210" spans="1:257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</row>
    <row r="211" spans="1:257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</row>
    <row r="212" spans="1:257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</row>
    <row r="213" spans="1:257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</row>
    <row r="214" spans="1:257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</row>
    <row r="215" spans="1:257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</row>
    <row r="216" spans="1:257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</row>
    <row r="217" spans="1:257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</row>
    <row r="218" spans="1:257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</row>
    <row r="219" spans="1:257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</row>
    <row r="220" spans="1:257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</row>
    <row r="221" spans="1:257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</row>
    <row r="222" spans="1:257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</row>
    <row r="223" spans="1:257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</row>
    <row r="224" spans="1:257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</row>
    <row r="225" spans="1:257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</row>
    <row r="226" spans="1:257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</row>
    <row r="227" spans="1:257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</row>
    <row r="228" spans="1:257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</row>
    <row r="229" spans="1:257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</row>
    <row r="230" spans="1:257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</row>
    <row r="231" spans="1:257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</row>
    <row r="232" spans="1:257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</row>
    <row r="233" spans="1:257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</row>
    <row r="234" spans="1:257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</row>
    <row r="235" spans="1:257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</row>
    <row r="236" spans="1:257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</row>
    <row r="237" spans="1:257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</row>
    <row r="238" spans="1:257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</row>
    <row r="239" spans="1:257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</row>
    <row r="240" spans="1:257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</row>
    <row r="241" spans="1:257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</row>
    <row r="242" spans="1:257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</row>
    <row r="243" spans="1:257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</row>
    <row r="244" spans="1:257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</row>
    <row r="245" spans="1:257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</row>
    <row r="246" spans="1:257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</row>
    <row r="247" spans="1:257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</row>
    <row r="248" spans="1:257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</row>
    <row r="249" spans="1:257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</row>
    <row r="250" spans="1:257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</row>
    <row r="251" spans="1:257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</row>
    <row r="252" spans="1:257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</row>
    <row r="253" spans="1:257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</row>
    <row r="254" spans="1:257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</row>
    <row r="255" spans="1:257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</row>
    <row r="256" spans="1:257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</row>
    <row r="257" spans="1:257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</row>
    <row r="258" spans="1:257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</row>
    <row r="259" spans="1:257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</row>
    <row r="260" spans="1:257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</row>
    <row r="261" spans="1:257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</row>
    <row r="262" spans="1:257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</row>
    <row r="263" spans="1:257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</row>
    <row r="264" spans="1:257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</row>
    <row r="265" spans="1:257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</row>
    <row r="266" spans="1:257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</row>
    <row r="267" spans="1:257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</row>
    <row r="268" spans="1:257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</row>
    <row r="269" spans="1:257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</row>
    <row r="270" spans="1:257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</row>
    <row r="271" spans="1:257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</row>
    <row r="272" spans="1:257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</row>
    <row r="273" spans="1:257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</row>
    <row r="274" spans="1:257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</row>
    <row r="275" spans="1:257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</row>
    <row r="276" spans="1:257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</row>
    <row r="277" spans="1:257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</row>
    <row r="278" spans="1:257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</row>
    <row r="279" spans="1:257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</row>
    <row r="280" spans="1:257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</row>
    <row r="281" spans="1:257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</row>
    <row r="282" spans="1:257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</row>
    <row r="283" spans="1:257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</row>
    <row r="284" spans="1:257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</row>
    <row r="285" spans="1:257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</row>
    <row r="286" spans="1:257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</row>
    <row r="287" spans="1:257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</row>
    <row r="288" spans="1:257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</row>
    <row r="289" spans="1:257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</row>
    <row r="290" spans="1:257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</row>
    <row r="291" spans="1:257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</row>
    <row r="292" spans="1:257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</row>
    <row r="293" spans="1:257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</row>
    <row r="294" spans="1:257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</row>
    <row r="295" spans="1:257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</row>
    <row r="296" spans="1:257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</row>
    <row r="297" spans="1:257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</row>
    <row r="298" spans="1:257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</row>
    <row r="299" spans="1:257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</row>
    <row r="300" spans="1:257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</row>
    <row r="301" spans="1:257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</row>
    <row r="302" spans="1:257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</row>
    <row r="303" spans="1:257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</row>
    <row r="304" spans="1:257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</row>
    <row r="305" spans="1:257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</row>
    <row r="306" spans="1:257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</row>
    <row r="307" spans="1:257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</row>
    <row r="308" spans="1:257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</row>
    <row r="309" spans="1:257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</row>
    <row r="310" spans="1:257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</row>
    <row r="311" spans="1:257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</row>
    <row r="312" spans="1:257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</row>
    <row r="313" spans="1:257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</row>
    <row r="314" spans="1:257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</row>
    <row r="315" spans="1:257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</row>
    <row r="316" spans="1:257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</row>
    <row r="317" spans="1:257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</row>
    <row r="318" spans="1:257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</row>
    <row r="319" spans="1:257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</row>
    <row r="320" spans="1:257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</row>
    <row r="321" spans="1:257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</row>
    <row r="322" spans="1:257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</row>
    <row r="323" spans="1:257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</row>
    <row r="324" spans="1:257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</row>
    <row r="325" spans="1:257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</row>
    <row r="326" spans="1:257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</row>
    <row r="327" spans="1:257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</row>
    <row r="328" spans="1:257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</row>
    <row r="329" spans="1:257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</row>
    <row r="330" spans="1:257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</row>
    <row r="331" spans="1:257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</row>
    <row r="332" spans="1:257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</row>
    <row r="333" spans="1:257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</row>
    <row r="334" spans="1:257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</row>
    <row r="335" spans="1:257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</row>
    <row r="336" spans="1:257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</row>
    <row r="337" spans="1:257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</row>
    <row r="338" spans="1:257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</row>
    <row r="339" spans="1:257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</row>
    <row r="340" spans="1:257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</row>
    <row r="341" spans="1:257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</row>
    <row r="342" spans="1:257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</row>
    <row r="343" spans="1:257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</row>
    <row r="344" spans="1:257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</row>
    <row r="345" spans="1:257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</row>
    <row r="346" spans="1:257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</row>
    <row r="347" spans="1:257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</row>
    <row r="348" spans="1:257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</row>
    <row r="349" spans="1:257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</row>
    <row r="350" spans="1:257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</row>
    <row r="351" spans="1:257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</row>
    <row r="352" spans="1:257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</row>
    <row r="353" spans="1:257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</row>
    <row r="354" spans="1:257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</row>
    <row r="355" spans="1:257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</row>
    <row r="356" spans="1:257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</row>
    <row r="357" spans="1:257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</row>
    <row r="358" spans="1:257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</row>
    <row r="359" spans="1:257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</row>
    <row r="360" spans="1:257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</row>
    <row r="361" spans="1:257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</row>
    <row r="362" spans="1:257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</row>
    <row r="363" spans="1:257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</row>
    <row r="364" spans="1:257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</row>
    <row r="365" spans="1:257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</row>
    <row r="366" spans="1:257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</row>
    <row r="367" spans="1:257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</row>
    <row r="368" spans="1:257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</row>
    <row r="369" spans="1:257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</row>
    <row r="370" spans="1:257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</row>
    <row r="371" spans="1:257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</row>
    <row r="372" spans="1:257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</row>
    <row r="373" spans="1:257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</row>
    <row r="374" spans="1:257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</row>
    <row r="375" spans="1:257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</row>
    <row r="376" spans="1:257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</row>
    <row r="377" spans="1:257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</row>
    <row r="378" spans="1:257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</row>
    <row r="379" spans="1:257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</row>
    <row r="380" spans="1:257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</row>
    <row r="381" spans="1:257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</row>
    <row r="382" spans="1:257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</row>
    <row r="383" spans="1:257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</row>
    <row r="384" spans="1:257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</row>
    <row r="385" spans="1:257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</row>
    <row r="386" spans="1:257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</row>
    <row r="387" spans="1:257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</row>
    <row r="388" spans="1:257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</row>
    <row r="389" spans="1:257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</row>
    <row r="390" spans="1:257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</row>
    <row r="391" spans="1:257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</row>
    <row r="392" spans="1:257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</row>
    <row r="393" spans="1:257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</row>
    <row r="394" spans="1:257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</row>
    <row r="395" spans="1:257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</row>
    <row r="396" spans="1:257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</row>
    <row r="397" spans="1:257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</row>
    <row r="398" spans="1:257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</row>
    <row r="399" spans="1:257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</row>
    <row r="400" spans="1:257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</row>
    <row r="401" spans="1:257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</row>
    <row r="402" spans="1:257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</row>
    <row r="403" spans="1:257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</row>
    <row r="404" spans="1:257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</row>
    <row r="405" spans="1:257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</row>
    <row r="406" spans="1:257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</row>
    <row r="407" spans="1:257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</row>
    <row r="408" spans="1:257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</row>
    <row r="409" spans="1:257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</row>
    <row r="410" spans="1:257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</row>
    <row r="411" spans="1:257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</row>
    <row r="412" spans="1:257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</row>
    <row r="413" spans="1:257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</row>
    <row r="414" spans="1:257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</row>
    <row r="415" spans="1:257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</row>
    <row r="416" spans="1:257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</row>
    <row r="417" spans="1:257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</row>
    <row r="418" spans="1:257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</row>
    <row r="419" spans="1:257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</row>
    <row r="420" spans="1:257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</row>
    <row r="421" spans="1:257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</row>
    <row r="422" spans="1:257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</row>
    <row r="423" spans="1:257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</row>
    <row r="424" spans="1:257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</row>
    <row r="425" spans="1:257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</row>
    <row r="426" spans="1:257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</row>
    <row r="427" spans="1:257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</row>
    <row r="428" spans="1:257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</row>
    <row r="429" spans="1:257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</row>
    <row r="430" spans="1:257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</row>
    <row r="431" spans="1:257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</row>
    <row r="432" spans="1:257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</row>
    <row r="433" spans="1:257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</row>
    <row r="434" spans="1:257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</row>
    <row r="435" spans="1:257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</row>
    <row r="436" spans="1:257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</row>
    <row r="437" spans="1:257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</row>
    <row r="438" spans="1:257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</row>
    <row r="439" spans="1:257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</row>
    <row r="440" spans="1:257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</row>
    <row r="441" spans="1:257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</row>
    <row r="442" spans="1:257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</row>
    <row r="443" spans="1:257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</row>
    <row r="444" spans="1:257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</row>
    <row r="445" spans="1:257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</row>
    <row r="446" spans="1:257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</row>
    <row r="447" spans="1:257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</row>
    <row r="448" spans="1:257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</row>
    <row r="449" spans="1:257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</row>
    <row r="450" spans="1:257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</row>
    <row r="451" spans="1:257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</row>
    <row r="452" spans="1:257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</row>
    <row r="453" spans="1:257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</row>
    <row r="454" spans="1:257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</row>
    <row r="455" spans="1:257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</row>
    <row r="456" spans="1:257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</row>
    <row r="457" spans="1:257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</row>
    <row r="458" spans="1:257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</row>
    <row r="459" spans="1:257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</row>
    <row r="460" spans="1:257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</row>
    <row r="461" spans="1:257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</row>
    <row r="462" spans="1:257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</row>
    <row r="463" spans="1:257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</row>
    <row r="464" spans="1:257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</row>
    <row r="465" spans="1:257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</row>
    <row r="466" spans="1:257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</row>
    <row r="467" spans="1:257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</row>
    <row r="468" spans="1:257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</row>
    <row r="469" spans="1:257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</row>
    <row r="470" spans="1:257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</row>
    <row r="471" spans="1:257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</row>
    <row r="472" spans="1:257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</row>
    <row r="473" spans="1:257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</row>
    <row r="474" spans="1:257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</row>
    <row r="475" spans="1:257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</row>
    <row r="476" spans="1:257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</row>
    <row r="477" spans="1:257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</row>
    <row r="478" spans="1:257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</row>
    <row r="479" spans="1:257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</row>
    <row r="480" spans="1:257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</row>
    <row r="481" spans="1:257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</row>
    <row r="482" spans="1:257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</row>
    <row r="483" spans="1:257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</row>
    <row r="484" spans="1:257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</row>
    <row r="485" spans="1:257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</row>
    <row r="486" spans="1:257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</row>
    <row r="487" spans="1:257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</row>
    <row r="488" spans="1:257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</row>
    <row r="489" spans="1:257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</row>
    <row r="490" spans="1:257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</row>
    <row r="491" spans="1:257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</row>
    <row r="492" spans="1:257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</row>
    <row r="493" spans="1:257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</row>
    <row r="494" spans="1:257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</row>
    <row r="495" spans="1:257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</row>
    <row r="496" spans="1:257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</row>
    <row r="497" spans="1:257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</row>
    <row r="498" spans="1:257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</row>
    <row r="499" spans="1:257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</row>
    <row r="500" spans="1:257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</row>
    <row r="501" spans="1:257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</row>
    <row r="502" spans="1:257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</row>
    <row r="503" spans="1:257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</row>
    <row r="504" spans="1:257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</row>
    <row r="505" spans="1:257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</row>
    <row r="506" spans="1:257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</row>
    <row r="507" spans="1:257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</row>
    <row r="508" spans="1:257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</row>
    <row r="509" spans="1:257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</row>
    <row r="510" spans="1:257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</row>
    <row r="511" spans="1:257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</row>
    <row r="512" spans="1:257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</row>
    <row r="513" spans="1:257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</row>
    <row r="514" spans="1:257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</row>
    <row r="515" spans="1:257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</row>
    <row r="516" spans="1:257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</row>
    <row r="517" spans="1:257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</row>
    <row r="518" spans="1:257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</row>
    <row r="519" spans="1:257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</row>
    <row r="520" spans="1:257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</row>
    <row r="521" spans="1:257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</row>
    <row r="522" spans="1:257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</row>
    <row r="523" spans="1:257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</row>
    <row r="524" spans="1:257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</row>
    <row r="525" spans="1:257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</row>
    <row r="526" spans="1:257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</row>
    <row r="527" spans="1:257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</row>
    <row r="528" spans="1:257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</row>
    <row r="529" spans="1:257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</row>
    <row r="530" spans="1:257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</row>
    <row r="531" spans="1:257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</row>
    <row r="532" spans="1:257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</row>
    <row r="533" spans="1:257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</row>
    <row r="534" spans="1:257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</row>
    <row r="535" spans="1:257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</row>
    <row r="536" spans="1:257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</row>
    <row r="537" spans="1:257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</row>
    <row r="538" spans="1:257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</row>
    <row r="539" spans="1:257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</row>
    <row r="540" spans="1:257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</row>
    <row r="541" spans="1:257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</row>
    <row r="542" spans="1:257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</row>
    <row r="543" spans="1:257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</row>
    <row r="544" spans="1:257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</row>
    <row r="545" spans="1:257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</row>
    <row r="546" spans="1:257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</row>
    <row r="547" spans="1:257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</row>
    <row r="548" spans="1:257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</row>
    <row r="549" spans="1:257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</row>
    <row r="550" spans="1:257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</row>
    <row r="551" spans="1:257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</row>
    <row r="552" spans="1:257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</row>
    <row r="553" spans="1:257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</row>
    <row r="554" spans="1:257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</row>
    <row r="555" spans="1:257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</row>
    <row r="556" spans="1:257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</row>
    <row r="557" spans="1:257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</row>
    <row r="558" spans="1:257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</row>
    <row r="559" spans="1:257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</row>
    <row r="560" spans="1:257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</row>
    <row r="561" spans="1:257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</row>
    <row r="562" spans="1:257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</row>
    <row r="563" spans="1:257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</row>
    <row r="564" spans="1:257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</row>
    <row r="565" spans="1:257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</row>
    <row r="566" spans="1:257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</row>
    <row r="567" spans="1:257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</row>
    <row r="568" spans="1:257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</row>
    <row r="569" spans="1:257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</row>
    <row r="570" spans="1:257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</row>
    <row r="571" spans="1:257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</row>
    <row r="572" spans="1:257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</row>
    <row r="573" spans="1:257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</row>
    <row r="574" spans="1:257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</row>
    <row r="575" spans="1:257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</row>
    <row r="576" spans="1:257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</row>
    <row r="577" spans="1:257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</row>
    <row r="578" spans="1:257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</row>
    <row r="579" spans="1:257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</row>
    <row r="580" spans="1:257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</row>
    <row r="581" spans="1:257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</row>
    <row r="582" spans="1:257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</row>
    <row r="583" spans="1:257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</row>
    <row r="584" spans="1:257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</row>
    <row r="585" spans="1:257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</row>
    <row r="586" spans="1:257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</row>
    <row r="587" spans="1:257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</row>
    <row r="588" spans="1:257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</row>
    <row r="589" spans="1:257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</row>
    <row r="590" spans="1:257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</row>
    <row r="591" spans="1:257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</row>
    <row r="592" spans="1:257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</row>
    <row r="593" spans="1:257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</row>
    <row r="594" spans="1:257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</row>
    <row r="595" spans="1:257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</row>
    <row r="596" spans="1:257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</row>
    <row r="597" spans="1:257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</row>
    <row r="598" spans="1:257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</row>
    <row r="599" spans="1:257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</row>
    <row r="600" spans="1:257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</row>
    <row r="601" spans="1:257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</row>
    <row r="602" spans="1:257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</row>
    <row r="603" spans="1:257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</row>
    <row r="604" spans="1:257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</row>
    <row r="605" spans="1:257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</row>
    <row r="606" spans="1:257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</row>
    <row r="607" spans="1:257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</row>
    <row r="608" spans="1:257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</row>
    <row r="609" spans="1:257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</row>
    <row r="610" spans="1:257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</row>
    <row r="611" spans="1:257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</row>
    <row r="612" spans="1:257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</row>
    <row r="613" spans="1:257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</row>
    <row r="614" spans="1:257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</row>
    <row r="615" spans="1:257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</row>
    <row r="616" spans="1:257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</row>
    <row r="617" spans="1:257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</row>
    <row r="618" spans="1:257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</row>
    <row r="619" spans="1:257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</row>
    <row r="620" spans="1:257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</row>
    <row r="621" spans="1:257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</row>
    <row r="622" spans="1:257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</row>
    <row r="623" spans="1:257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</row>
    <row r="624" spans="1:257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</row>
    <row r="625" spans="1:257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</row>
    <row r="626" spans="1:257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</row>
    <row r="627" spans="1:257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</row>
    <row r="628" spans="1:257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</row>
    <row r="629" spans="1:257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</row>
    <row r="630" spans="1:257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</row>
    <row r="631" spans="1:257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</row>
    <row r="632" spans="1:257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</row>
    <row r="633" spans="1:257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</row>
    <row r="634" spans="1:257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</row>
    <row r="635" spans="1:257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</row>
    <row r="636" spans="1:257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</row>
    <row r="637" spans="1:257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</row>
    <row r="638" spans="1:257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</row>
    <row r="639" spans="1:257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</row>
    <row r="640" spans="1:257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</row>
    <row r="641" spans="1:257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</row>
    <row r="642" spans="1:257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</row>
    <row r="643" spans="1:257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</row>
    <row r="644" spans="1:257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</row>
    <row r="645" spans="1:257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</row>
    <row r="646" spans="1:257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</row>
    <row r="647" spans="1:257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</row>
    <row r="648" spans="1:257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</row>
    <row r="649" spans="1:257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</row>
    <row r="650" spans="1:257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</row>
    <row r="651" spans="1:257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</row>
    <row r="652" spans="1:257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</row>
    <row r="653" spans="1:257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</row>
    <row r="654" spans="1:257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</row>
    <row r="655" spans="1:257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</row>
    <row r="656" spans="1:257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</row>
    <row r="657" spans="1:257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</row>
    <row r="658" spans="1:257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</row>
    <row r="659" spans="1:257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</row>
    <row r="660" spans="1:257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</row>
    <row r="661" spans="1:257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</row>
    <row r="662" spans="1:257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</row>
    <row r="663" spans="1:257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</row>
    <row r="664" spans="1:257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</row>
    <row r="665" spans="1:257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</row>
    <row r="666" spans="1:257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</row>
    <row r="667" spans="1:257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</row>
    <row r="668" spans="1:257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</row>
    <row r="669" spans="1:257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</row>
    <row r="670" spans="1:257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</row>
    <row r="671" spans="1:257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</row>
    <row r="672" spans="1:257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</row>
    <row r="673" spans="1:257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</row>
    <row r="674" spans="1:257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</row>
    <row r="675" spans="1:257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</row>
    <row r="676" spans="1:257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</row>
    <row r="677" spans="1:257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</row>
    <row r="678" spans="1:257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</row>
    <row r="679" spans="1:257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</row>
    <row r="680" spans="1:257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</row>
    <row r="681" spans="1:257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</row>
    <row r="682" spans="1:257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</row>
    <row r="683" spans="1:257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</row>
    <row r="684" spans="1:257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</row>
    <row r="685" spans="1:257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</row>
    <row r="686" spans="1:257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</row>
    <row r="687" spans="1:257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</row>
    <row r="688" spans="1:257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</row>
    <row r="689" spans="1:257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</row>
    <row r="690" spans="1:257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</row>
    <row r="691" spans="1:257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</row>
    <row r="692" spans="1:257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</row>
    <row r="693" spans="1:257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</row>
    <row r="694" spans="1:257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</row>
    <row r="695" spans="1:257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</row>
    <row r="696" spans="1:257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</row>
    <row r="697" spans="1:257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</row>
    <row r="698" spans="1:257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</row>
    <row r="699" spans="1:257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</row>
    <row r="700" spans="1:257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</row>
    <row r="701" spans="1:257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</row>
    <row r="702" spans="1:257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</row>
    <row r="703" spans="1:257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</row>
    <row r="704" spans="1:257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</row>
    <row r="705" spans="1:257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</row>
    <row r="706" spans="1:257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</row>
    <row r="707" spans="1:257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</row>
    <row r="708" spans="1:257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</row>
    <row r="709" spans="1:257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</row>
    <row r="710" spans="1:257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</row>
    <row r="711" spans="1:257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</row>
    <row r="712" spans="1:257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</row>
    <row r="713" spans="1:257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</row>
    <row r="714" spans="1:257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</row>
    <row r="715" spans="1:257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</row>
    <row r="716" spans="1:257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</row>
    <row r="717" spans="1:257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</row>
    <row r="718" spans="1:257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</row>
    <row r="719" spans="1:257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</row>
    <row r="720" spans="1:257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</row>
    <row r="721" spans="1:257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</row>
    <row r="722" spans="1:257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</row>
    <row r="723" spans="1:257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</row>
    <row r="724" spans="1:257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</row>
    <row r="725" spans="1:257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</row>
    <row r="726" spans="1:257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</row>
    <row r="727" spans="1:257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</row>
    <row r="728" spans="1:257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</row>
    <row r="729" spans="1:257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</row>
    <row r="730" spans="1:257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</row>
    <row r="731" spans="1:257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</row>
    <row r="732" spans="1:257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</row>
    <row r="733" spans="1:257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</row>
    <row r="734" spans="1:257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</row>
    <row r="735" spans="1:257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</row>
    <row r="736" spans="1:257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</row>
    <row r="737" spans="1:257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</row>
    <row r="738" spans="1:257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</row>
    <row r="739" spans="1:257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</row>
    <row r="740" spans="1:257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</row>
    <row r="741" spans="1:257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</row>
    <row r="742" spans="1:257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</row>
    <row r="743" spans="1:257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</row>
    <row r="744" spans="1:257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</row>
    <row r="745" spans="1:257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</row>
    <row r="746" spans="1:257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</row>
    <row r="747" spans="1:257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</row>
    <row r="748" spans="1:257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</row>
    <row r="749" spans="1:257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</row>
    <row r="750" spans="1:257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</row>
    <row r="751" spans="1:257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</row>
    <row r="752" spans="1:257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</row>
    <row r="753" spans="1:257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</row>
    <row r="754" spans="1:257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</row>
    <row r="755" spans="1:257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</row>
    <row r="756" spans="1:257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</row>
    <row r="757" spans="1:257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</row>
    <row r="758" spans="1:257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</row>
    <row r="759" spans="1:257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</row>
    <row r="760" spans="1:257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</row>
    <row r="761" spans="1:257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</row>
    <row r="762" spans="1:257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</row>
    <row r="763" spans="1:257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</row>
    <row r="764" spans="1:257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</row>
    <row r="765" spans="1:257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</row>
    <row r="766" spans="1:257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</row>
    <row r="767" spans="1:257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</row>
    <row r="768" spans="1:257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</row>
    <row r="769" spans="1:257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</row>
    <row r="770" spans="1:257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</row>
    <row r="771" spans="1:257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</row>
    <row r="772" spans="1:257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</row>
    <row r="773" spans="1:257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</row>
    <row r="774" spans="1:257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</row>
    <row r="775" spans="1:257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</row>
    <row r="776" spans="1:257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</row>
    <row r="777" spans="1:257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</row>
    <row r="778" spans="1:257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</row>
    <row r="779" spans="1:257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</row>
    <row r="780" spans="1:257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</row>
    <row r="781" spans="1:257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</row>
    <row r="782" spans="1:257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</row>
    <row r="783" spans="1:257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</row>
    <row r="784" spans="1:257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</row>
    <row r="785" spans="1:257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</row>
    <row r="786" spans="1:257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</row>
    <row r="787" spans="1:257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</row>
    <row r="788" spans="1:257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</row>
    <row r="789" spans="1:257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</row>
    <row r="790" spans="1:257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</row>
    <row r="791" spans="1:257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</row>
    <row r="792" spans="1:257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</row>
    <row r="793" spans="1:257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</row>
    <row r="794" spans="1:257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</row>
    <row r="795" spans="1:257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</row>
    <row r="796" spans="1:257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</row>
    <row r="797" spans="1:257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</row>
    <row r="798" spans="1:257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</row>
    <row r="799" spans="1:257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</row>
    <row r="800" spans="1:257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</row>
    <row r="801" spans="1:257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</row>
    <row r="802" spans="1:257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</row>
    <row r="803" spans="1:257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</row>
    <row r="804" spans="1:257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</row>
    <row r="805" spans="1:257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</row>
    <row r="806" spans="1:257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</row>
    <row r="807" spans="1:257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</row>
    <row r="808" spans="1:257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</row>
    <row r="809" spans="1:257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</row>
    <row r="810" spans="1:257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</row>
    <row r="811" spans="1:257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</row>
    <row r="812" spans="1:257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</row>
    <row r="813" spans="1:257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</row>
    <row r="814" spans="1:257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</row>
    <row r="815" spans="1:257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</row>
    <row r="816" spans="1:257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</row>
    <row r="817" spans="1:257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</row>
    <row r="818" spans="1:257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</row>
    <row r="819" spans="1:257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</row>
    <row r="820" spans="1:257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</row>
    <row r="821" spans="1:257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</row>
    <row r="822" spans="1:257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</row>
    <row r="823" spans="1:257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</row>
    <row r="824" spans="1:257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</row>
    <row r="825" spans="1:257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</row>
    <row r="826" spans="1:257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</row>
    <row r="827" spans="1:257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</row>
    <row r="828" spans="1:257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</row>
    <row r="829" spans="1:257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</row>
    <row r="830" spans="1:257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</row>
    <row r="831" spans="1:257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</row>
    <row r="832" spans="1:257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</row>
    <row r="833" spans="1:257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</row>
    <row r="834" spans="1:257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</row>
    <row r="835" spans="1:257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</row>
    <row r="836" spans="1:257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</row>
    <row r="837" spans="1:257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</row>
    <row r="838" spans="1:257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</row>
    <row r="839" spans="1:257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</row>
    <row r="840" spans="1:257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</row>
    <row r="841" spans="1:257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</row>
    <row r="842" spans="1:257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</row>
    <row r="843" spans="1:257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</row>
    <row r="844" spans="1:257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</row>
    <row r="845" spans="1:257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</row>
    <row r="846" spans="1:257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</row>
    <row r="847" spans="1:257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</row>
    <row r="848" spans="1:257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</row>
    <row r="849" spans="1:257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</row>
    <row r="850" spans="1:257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</row>
    <row r="851" spans="1:257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</row>
    <row r="852" spans="1:257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</row>
    <row r="853" spans="1:257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</row>
    <row r="854" spans="1:257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</row>
    <row r="855" spans="1:257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</row>
    <row r="856" spans="1:257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</row>
    <row r="857" spans="1:257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</row>
    <row r="858" spans="1:257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</row>
    <row r="859" spans="1:257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</row>
    <row r="860" spans="1:257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</row>
    <row r="861" spans="1:257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</row>
    <row r="862" spans="1:257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</row>
    <row r="863" spans="1:257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</row>
    <row r="864" spans="1:257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</row>
    <row r="865" spans="1:257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</row>
    <row r="866" spans="1:257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</row>
    <row r="867" spans="1:257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</row>
    <row r="868" spans="1:257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</row>
    <row r="869" spans="1:257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</row>
    <row r="870" spans="1:257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</row>
    <row r="871" spans="1:257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</row>
    <row r="872" spans="1:257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</row>
    <row r="873" spans="1:257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</row>
    <row r="874" spans="1:257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</row>
    <row r="875" spans="1:257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</row>
    <row r="876" spans="1:257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</row>
    <row r="877" spans="1:257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</row>
    <row r="878" spans="1:257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</row>
    <row r="879" spans="1:257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</row>
    <row r="880" spans="1:257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</row>
    <row r="881" spans="1:257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</row>
    <row r="882" spans="1:257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</row>
    <row r="883" spans="1:257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</row>
    <row r="884" spans="1:257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</row>
    <row r="885" spans="1:257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</row>
    <row r="886" spans="1:257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</row>
    <row r="887" spans="1:257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</row>
    <row r="888" spans="1:257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</row>
    <row r="889" spans="1:257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</row>
    <row r="890" spans="1:257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</row>
    <row r="891" spans="1:257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</row>
    <row r="892" spans="1:257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</row>
    <row r="893" spans="1:257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</row>
    <row r="894" spans="1:257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</row>
    <row r="895" spans="1:257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</row>
    <row r="896" spans="1:257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</row>
    <row r="897" spans="1:257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</row>
    <row r="898" spans="1:257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</row>
    <row r="899" spans="1:257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</row>
    <row r="900" spans="1:257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</row>
    <row r="901" spans="1:257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</row>
    <row r="902" spans="1:257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</row>
    <row r="903" spans="1:257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</row>
    <row r="904" spans="1:257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</row>
    <row r="905" spans="1:257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</row>
    <row r="906" spans="1:257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</row>
    <row r="907" spans="1:257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</row>
    <row r="908" spans="1:257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</row>
    <row r="909" spans="1:257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</row>
    <row r="910" spans="1:257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</row>
    <row r="911" spans="1:257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</row>
    <row r="912" spans="1:257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</row>
    <row r="913" spans="1:257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</row>
    <row r="914" spans="1:257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</row>
    <row r="915" spans="1:257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</row>
    <row r="916" spans="1:257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</row>
    <row r="917" spans="1:257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</row>
    <row r="918" spans="1:257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</row>
    <row r="919" spans="1:257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</row>
    <row r="920" spans="1:257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</row>
    <row r="921" spans="1:257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</row>
    <row r="922" spans="1:257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</row>
    <row r="923" spans="1:257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</row>
    <row r="924" spans="1:257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</row>
    <row r="925" spans="1:257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</row>
    <row r="926" spans="1:257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</row>
    <row r="927" spans="1:257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</row>
    <row r="928" spans="1:257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</row>
    <row r="929" spans="1:257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</row>
    <row r="930" spans="1:257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</row>
    <row r="931" spans="1:257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</row>
    <row r="932" spans="1:257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</row>
    <row r="933" spans="1:257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</row>
    <row r="934" spans="1:257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</row>
    <row r="935" spans="1:257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</row>
    <row r="936" spans="1:257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</row>
    <row r="937" spans="1:257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</row>
    <row r="938" spans="1:257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</row>
    <row r="939" spans="1:257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</row>
    <row r="940" spans="1:257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</row>
    <row r="941" spans="1:257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</row>
    <row r="942" spans="1:257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</row>
    <row r="943" spans="1:257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</row>
    <row r="944" spans="1:257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</row>
    <row r="945" spans="1:257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</row>
    <row r="946" spans="1:257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</row>
    <row r="947" spans="1:257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</row>
    <row r="948" spans="1:257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</row>
    <row r="949" spans="1:257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</row>
    <row r="950" spans="1:257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</row>
    <row r="951" spans="1:257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</row>
    <row r="952" spans="1:257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</row>
    <row r="953" spans="1:257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</row>
    <row r="954" spans="1:257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</row>
    <row r="955" spans="1:257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</row>
    <row r="956" spans="1:257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</row>
    <row r="957" spans="1:257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</row>
    <row r="958" spans="1:257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</row>
    <row r="959" spans="1:257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</row>
    <row r="960" spans="1:257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</row>
    <row r="961" spans="1:257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</row>
    <row r="962" spans="1:257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</row>
    <row r="963" spans="1:257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</row>
    <row r="964" spans="1:257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</row>
    <row r="965" spans="1:257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</row>
    <row r="966" spans="1:257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</row>
    <row r="967" spans="1:257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</row>
    <row r="968" spans="1:257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</row>
    <row r="969" spans="1:257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</row>
    <row r="970" spans="1:257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</row>
    <row r="971" spans="1:257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</row>
    <row r="972" spans="1:257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</row>
    <row r="973" spans="1:257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</row>
    <row r="974" spans="1:257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</row>
    <row r="975" spans="1:257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</row>
    <row r="976" spans="1:257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</row>
    <row r="977" spans="1:257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</row>
    <row r="978" spans="1:257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</row>
    <row r="979" spans="1:257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</row>
    <row r="980" spans="1:257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</row>
    <row r="981" spans="1:257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</row>
    <row r="982" spans="1:257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</row>
    <row r="983" spans="1:257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</row>
    <row r="984" spans="1:257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</row>
    <row r="985" spans="1:257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</row>
    <row r="986" spans="1:257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</row>
    <row r="987" spans="1:257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</row>
    <row r="988" spans="1:257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</row>
    <row r="989" spans="1:257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</row>
    <row r="990" spans="1:257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</row>
    <row r="991" spans="1:257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</row>
    <row r="992" spans="1:257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</row>
    <row r="993" spans="1:257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</row>
    <row r="994" spans="1:257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</row>
    <row r="995" spans="1:257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</row>
    <row r="996" spans="1:257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</row>
    <row r="997" spans="1:257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</row>
    <row r="998" spans="1:257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</row>
    <row r="999" spans="1:257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</row>
    <row r="1000" spans="1:257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</row>
  </sheetData>
  <phoneticPr fontId="24" type="noConversion"/>
  <pageMargins left="0.7" right="0.7" top="0.75" bottom="0.75" header="0.3" footer="0.3"/>
  <pageSetup paperSize="3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activeCell="L1" sqref="L1:M1"/>
    </sheetView>
  </sheetViews>
  <sheetFormatPr baseColWidth="10" defaultColWidth="17.33203125" defaultRowHeight="15" customHeight="1" x14ac:dyDescent="0.15"/>
  <cols>
    <col min="1" max="1" width="23.33203125" customWidth="1"/>
    <col min="2" max="13" width="11.5" customWidth="1"/>
    <col min="14" max="23" width="9.1640625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15">
      <c r="A2" s="7"/>
      <c r="B2" s="16"/>
      <c r="C2" s="1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15">
      <c r="A3" s="303" t="s">
        <v>298</v>
      </c>
      <c r="B3" s="304"/>
      <c r="C3" s="304" t="s">
        <v>18</v>
      </c>
      <c r="D3" s="305" t="s">
        <v>19</v>
      </c>
      <c r="E3" s="697" t="s">
        <v>20</v>
      </c>
      <c r="F3" s="684"/>
      <c r="G3" s="698" t="s">
        <v>21</v>
      </c>
      <c r="H3" s="677"/>
      <c r="I3" s="684"/>
      <c r="J3" s="694" t="s">
        <v>22</v>
      </c>
      <c r="K3" s="677"/>
      <c r="L3" s="677"/>
      <c r="M3" s="682"/>
      <c r="N3" s="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15">
      <c r="A4" s="307"/>
      <c r="B4" s="309" t="s">
        <v>71</v>
      </c>
      <c r="C4" s="309" t="s">
        <v>24</v>
      </c>
      <c r="D4" s="310">
        <v>2019</v>
      </c>
      <c r="E4" s="312">
        <f t="shared" ref="E4:M4" si="0">D4+1</f>
        <v>2020</v>
      </c>
      <c r="F4" s="312">
        <f t="shared" si="0"/>
        <v>2021</v>
      </c>
      <c r="G4" s="314">
        <f t="shared" si="0"/>
        <v>2022</v>
      </c>
      <c r="H4" s="314">
        <f t="shared" si="0"/>
        <v>2023</v>
      </c>
      <c r="I4" s="314">
        <f t="shared" si="0"/>
        <v>2024</v>
      </c>
      <c r="J4" s="315">
        <f t="shared" si="0"/>
        <v>2025</v>
      </c>
      <c r="K4" s="315">
        <f t="shared" si="0"/>
        <v>2026</v>
      </c>
      <c r="L4" s="315">
        <f t="shared" si="0"/>
        <v>2027</v>
      </c>
      <c r="M4" s="317">
        <f t="shared" si="0"/>
        <v>2028</v>
      </c>
      <c r="N4" s="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15">
      <c r="A5" s="318" t="s">
        <v>302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4"/>
      <c r="N5" s="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15">
      <c r="A6" s="319" t="s">
        <v>244</v>
      </c>
      <c r="B6" s="320">
        <f>'Project Data'!$B$3</f>
        <v>3.5000000000000003E-2</v>
      </c>
      <c r="C6" s="321"/>
      <c r="D6" s="322"/>
      <c r="E6" s="323"/>
      <c r="F6" s="323"/>
      <c r="G6" s="324"/>
      <c r="H6" s="324"/>
      <c r="I6" s="324"/>
      <c r="J6" s="325"/>
      <c r="K6" s="325"/>
      <c r="L6" s="325"/>
      <c r="M6" s="326"/>
      <c r="N6" s="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15">
      <c r="A7" s="319" t="s">
        <v>303</v>
      </c>
      <c r="B7" s="73">
        <f>'Project Data'!$B$19</f>
        <v>950</v>
      </c>
      <c r="C7" s="73"/>
      <c r="D7" s="322"/>
      <c r="E7" s="323"/>
      <c r="F7" s="323"/>
      <c r="G7" s="324"/>
      <c r="H7" s="324"/>
      <c r="I7" s="324"/>
      <c r="J7" s="325"/>
      <c r="K7" s="325"/>
      <c r="L7" s="325"/>
      <c r="M7" s="326"/>
      <c r="N7" s="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15">
      <c r="A8" s="319" t="s">
        <v>304</v>
      </c>
      <c r="B8" s="321">
        <v>0.85</v>
      </c>
      <c r="C8" s="73"/>
      <c r="D8" s="322"/>
      <c r="E8" s="323"/>
      <c r="F8" s="323"/>
      <c r="G8" s="324"/>
      <c r="H8" s="324"/>
      <c r="I8" s="324"/>
      <c r="J8" s="325"/>
      <c r="K8" s="325"/>
      <c r="L8" s="325"/>
      <c r="M8" s="326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15">
      <c r="A9" s="319" t="s">
        <v>52</v>
      </c>
      <c r="B9" s="64">
        <f>'Project Data'!$B$18</f>
        <v>2.8</v>
      </c>
      <c r="C9" s="73"/>
      <c r="D9" s="327">
        <f>B9</f>
        <v>2.8</v>
      </c>
      <c r="E9" s="328">
        <f t="shared" ref="E9:M9" si="1">D9*(1+$B$6)</f>
        <v>2.8979999999999997</v>
      </c>
      <c r="F9" s="328">
        <f t="shared" si="1"/>
        <v>2.9994299999999994</v>
      </c>
      <c r="G9" s="329">
        <f t="shared" si="1"/>
        <v>3.1044100499999989</v>
      </c>
      <c r="H9" s="329">
        <f t="shared" si="1"/>
        <v>3.2130644017499987</v>
      </c>
      <c r="I9" s="329">
        <f t="shared" si="1"/>
        <v>3.3255216558112486</v>
      </c>
      <c r="J9" s="330">
        <f t="shared" si="1"/>
        <v>3.4419149137646419</v>
      </c>
      <c r="K9" s="325">
        <f t="shared" si="1"/>
        <v>3.5623819357464042</v>
      </c>
      <c r="L9" s="325">
        <f t="shared" si="1"/>
        <v>3.687065303497528</v>
      </c>
      <c r="M9" s="326">
        <f t="shared" si="1"/>
        <v>3.8161125891199412</v>
      </c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15">
      <c r="A10" s="319" t="s">
        <v>305</v>
      </c>
      <c r="B10" s="331">
        <v>0.75</v>
      </c>
      <c r="C10" s="331"/>
      <c r="D10" s="322"/>
      <c r="E10" s="323"/>
      <c r="F10" s="323"/>
      <c r="G10" s="324"/>
      <c r="H10" s="324"/>
      <c r="I10" s="324"/>
      <c r="J10" s="332"/>
      <c r="K10" s="332">
        <f>B10</f>
        <v>0.75</v>
      </c>
      <c r="L10" s="332">
        <f t="shared" ref="L10:M10" si="2">K10+5%</f>
        <v>0.8</v>
      </c>
      <c r="M10" s="333">
        <f t="shared" si="2"/>
        <v>0.85000000000000009</v>
      </c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15">
      <c r="A11" s="319" t="s">
        <v>56</v>
      </c>
      <c r="B11" s="331">
        <v>0.2</v>
      </c>
      <c r="C11" s="331"/>
      <c r="D11" s="334"/>
      <c r="E11" s="335"/>
      <c r="F11" s="335"/>
      <c r="G11" s="336"/>
      <c r="H11" s="336"/>
      <c r="I11" s="336"/>
      <c r="J11" s="337"/>
      <c r="K11" s="337"/>
      <c r="L11" s="338"/>
      <c r="M11" s="339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15">
      <c r="A12" s="319" t="s">
        <v>306</v>
      </c>
      <c r="B12" s="340">
        <f>('Project Data'!$G$138+'Project Data'!$G$136)</f>
        <v>108534</v>
      </c>
      <c r="C12" s="331"/>
      <c r="D12" s="341"/>
      <c r="E12" s="342"/>
      <c r="F12" s="342"/>
      <c r="G12" s="344"/>
      <c r="H12" s="344"/>
      <c r="I12" s="344"/>
      <c r="J12" s="338"/>
      <c r="K12" s="338"/>
      <c r="L12" s="338"/>
      <c r="M12" s="346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15">
      <c r="A13" s="319" t="s">
        <v>307</v>
      </c>
      <c r="B13" s="64">
        <f>'Project Data'!$B$22</f>
        <v>120</v>
      </c>
      <c r="C13" s="331"/>
      <c r="D13" s="334">
        <f>B13</f>
        <v>120</v>
      </c>
      <c r="E13" s="335">
        <f t="shared" ref="E13:J13" si="3">D13*(1+$B$6)</f>
        <v>124.19999999999999</v>
      </c>
      <c r="F13" s="335">
        <f t="shared" si="3"/>
        <v>128.54699999999997</v>
      </c>
      <c r="G13" s="336">
        <f t="shared" si="3"/>
        <v>133.04614499999997</v>
      </c>
      <c r="H13" s="336">
        <f t="shared" si="3"/>
        <v>137.70276007499996</v>
      </c>
      <c r="I13" s="336">
        <f t="shared" si="3"/>
        <v>142.52235667762494</v>
      </c>
      <c r="J13" s="337">
        <f t="shared" si="3"/>
        <v>147.5106391613418</v>
      </c>
      <c r="K13" s="337"/>
      <c r="L13" s="337"/>
      <c r="M13" s="339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15">
      <c r="A14" s="319" t="s">
        <v>285</v>
      </c>
      <c r="B14" s="64">
        <v>5</v>
      </c>
      <c r="C14" s="331"/>
      <c r="D14" s="334">
        <f>$B$14</f>
        <v>5</v>
      </c>
      <c r="E14" s="335">
        <f t="shared" ref="E14:J14" si="4">D14*(1+$B$6)</f>
        <v>5.1749999999999998</v>
      </c>
      <c r="F14" s="335">
        <f t="shared" si="4"/>
        <v>5.3561249999999996</v>
      </c>
      <c r="G14" s="336">
        <f t="shared" si="4"/>
        <v>5.5435893749999989</v>
      </c>
      <c r="H14" s="336">
        <f t="shared" si="4"/>
        <v>5.7376150031249988</v>
      </c>
      <c r="I14" s="336">
        <f t="shared" si="4"/>
        <v>5.9384315282343731</v>
      </c>
      <c r="J14" s="337">
        <f t="shared" si="4"/>
        <v>6.1462766317225759</v>
      </c>
      <c r="K14" s="337"/>
      <c r="L14" s="337"/>
      <c r="M14" s="339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15">
      <c r="A15" s="352" t="s">
        <v>309</v>
      </c>
      <c r="B15" s="354">
        <f>'Project Data'!B20</f>
        <v>0.5</v>
      </c>
      <c r="C15" s="356"/>
      <c r="D15" s="358">
        <f>B15</f>
        <v>0.5</v>
      </c>
      <c r="E15" s="360">
        <f t="shared" ref="E15:M15" si="5">D15*(1+$B$6)</f>
        <v>0.51749999999999996</v>
      </c>
      <c r="F15" s="360">
        <f t="shared" si="5"/>
        <v>0.53561249999999994</v>
      </c>
      <c r="G15" s="361">
        <f t="shared" si="5"/>
        <v>0.55435893749999987</v>
      </c>
      <c r="H15" s="361">
        <f t="shared" si="5"/>
        <v>0.57376150031249984</v>
      </c>
      <c r="I15" s="361">
        <f t="shared" si="5"/>
        <v>0.59384315282343725</v>
      </c>
      <c r="J15" s="362">
        <f t="shared" si="5"/>
        <v>0.61462766317225748</v>
      </c>
      <c r="K15" s="364">
        <f t="shared" si="5"/>
        <v>0.63613963138328644</v>
      </c>
      <c r="L15" s="364">
        <f t="shared" si="5"/>
        <v>0.65840451848170145</v>
      </c>
      <c r="M15" s="366">
        <f t="shared" si="5"/>
        <v>0.6814486766285609</v>
      </c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5" customHeight="1" x14ac:dyDescent="0.15">
      <c r="A16" s="318" t="s">
        <v>313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4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15">
      <c r="A17" s="319" t="s">
        <v>314</v>
      </c>
      <c r="B17" s="73"/>
      <c r="C17" s="73"/>
      <c r="D17" s="341"/>
      <c r="E17" s="342"/>
      <c r="F17" s="342"/>
      <c r="G17" s="344"/>
      <c r="H17" s="344"/>
      <c r="I17" s="344"/>
      <c r="J17" s="338"/>
      <c r="K17" s="338">
        <f>K9*$B$12*12*$B$8*K10*J22</f>
        <v>2366234.1134075173</v>
      </c>
      <c r="L17" s="338">
        <f t="shared" ref="L17:M17" si="6">L9*$B$12*12*$B$8*K10</f>
        <v>3061315.384220975</v>
      </c>
      <c r="M17" s="346">
        <f t="shared" si="6"/>
        <v>3379692.1841799566</v>
      </c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5" customHeight="1" x14ac:dyDescent="0.15">
      <c r="A18" s="319" t="s">
        <v>317</v>
      </c>
      <c r="B18" s="73"/>
      <c r="C18" s="73"/>
      <c r="D18" s="368"/>
      <c r="E18" s="342"/>
      <c r="F18" s="342"/>
      <c r="G18" s="344"/>
      <c r="H18" s="344"/>
      <c r="I18" s="344"/>
      <c r="J18" s="338"/>
      <c r="K18" s="338">
        <f t="shared" ref="K18:L18" si="7">-K15*$B$12*12*K10*$B$8*J22</f>
        <v>-422541.80596562813</v>
      </c>
      <c r="L18" s="338">
        <f t="shared" si="7"/>
        <v>-583107.69223256677</v>
      </c>
      <c r="M18" s="338">
        <f>-M15*$B$12*12*M10*$B$8</f>
        <v>-641236.24030200078</v>
      </c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15">
      <c r="A19" s="370" t="s">
        <v>177</v>
      </c>
      <c r="B19" s="371"/>
      <c r="C19" s="371"/>
      <c r="D19" s="372"/>
      <c r="E19" s="373"/>
      <c r="F19" s="373"/>
      <c r="G19" s="375"/>
      <c r="H19" s="375"/>
      <c r="I19" s="375"/>
      <c r="J19" s="377"/>
      <c r="K19" s="377">
        <f t="shared" ref="K19:M19" si="8">K17+K18</f>
        <v>1943692.3074418893</v>
      </c>
      <c r="L19" s="377">
        <f t="shared" si="8"/>
        <v>2478207.6919884081</v>
      </c>
      <c r="M19" s="377">
        <f t="shared" si="8"/>
        <v>2738455.9438779559</v>
      </c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 x14ac:dyDescent="0.15">
      <c r="A20" s="318" t="s">
        <v>106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4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15">
      <c r="A21" s="319" t="s">
        <v>320</v>
      </c>
      <c r="B21" s="73"/>
      <c r="C21" s="321"/>
      <c r="D21" s="382"/>
      <c r="E21" s="349"/>
      <c r="F21" s="349"/>
      <c r="G21" s="350"/>
      <c r="H21" s="350"/>
      <c r="I21" s="350"/>
      <c r="J21" s="332">
        <v>0.8</v>
      </c>
      <c r="K21" s="332">
        <v>0.2</v>
      </c>
      <c r="L21" s="332"/>
      <c r="M21" s="333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15">
      <c r="A22" s="319" t="s">
        <v>321</v>
      </c>
      <c r="B22" s="73"/>
      <c r="C22" s="321"/>
      <c r="D22" s="382">
        <f>D21</f>
        <v>0</v>
      </c>
      <c r="E22" s="349"/>
      <c r="F22" s="349"/>
      <c r="G22" s="350"/>
      <c r="H22" s="350"/>
      <c r="I22" s="350"/>
      <c r="J22" s="332">
        <f t="shared" ref="J22:M22" si="9">I22+J21</f>
        <v>0.8</v>
      </c>
      <c r="K22" s="332">
        <f t="shared" si="9"/>
        <v>1</v>
      </c>
      <c r="L22" s="332">
        <f t="shared" si="9"/>
        <v>1</v>
      </c>
      <c r="M22" s="332">
        <f t="shared" si="9"/>
        <v>1</v>
      </c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15">
      <c r="A23" s="319" t="s">
        <v>323</v>
      </c>
      <c r="B23" s="73"/>
      <c r="C23" s="73"/>
      <c r="D23" s="341"/>
      <c r="E23" s="384"/>
      <c r="F23" s="384"/>
      <c r="G23" s="386"/>
      <c r="H23" s="386"/>
      <c r="I23" s="386"/>
      <c r="J23" s="338">
        <f>-J13*$B$12*J21</f>
        <v>-12807935.768589657</v>
      </c>
      <c r="K23" s="338">
        <f>-J13*$B$12*K21</f>
        <v>-3201983.9421474142</v>
      </c>
      <c r="L23" s="390"/>
      <c r="M23" s="391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15">
      <c r="A24" s="319" t="s">
        <v>56</v>
      </c>
      <c r="B24" s="331">
        <f>B11</f>
        <v>0.2</v>
      </c>
      <c r="C24" s="73"/>
      <c r="D24" s="341"/>
      <c r="E24" s="384"/>
      <c r="F24" s="384"/>
      <c r="G24" s="386"/>
      <c r="H24" s="386"/>
      <c r="I24" s="386"/>
      <c r="J24" s="338">
        <f t="shared" ref="J24:K24" si="10">$B$24*J23</f>
        <v>-2561587.1537179314</v>
      </c>
      <c r="K24" s="338">
        <f t="shared" si="10"/>
        <v>-640396.78842948284</v>
      </c>
      <c r="L24" s="390"/>
      <c r="M24" s="391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 x14ac:dyDescent="0.15">
      <c r="A25" s="370" t="s">
        <v>170</v>
      </c>
      <c r="B25" s="371"/>
      <c r="C25" s="371"/>
      <c r="D25" s="372"/>
      <c r="E25" s="373"/>
      <c r="F25" s="373"/>
      <c r="G25" s="375"/>
      <c r="H25" s="375"/>
      <c r="I25" s="375"/>
      <c r="J25" s="377">
        <f t="shared" ref="J25:K25" si="11">SUM(J23:J24)</f>
        <v>-15369522.922307588</v>
      </c>
      <c r="K25" s="377">
        <f t="shared" si="11"/>
        <v>-3842380.730576897</v>
      </c>
      <c r="L25" s="377"/>
      <c r="M25" s="396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15">
      <c r="A26" s="318" t="s">
        <v>174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4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15">
      <c r="A27" s="319" t="s">
        <v>61</v>
      </c>
      <c r="B27" s="321">
        <v>7.0000000000000007E-2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4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15">
      <c r="A28" s="319" t="s">
        <v>177</v>
      </c>
      <c r="B28" s="73"/>
      <c r="C28" s="73"/>
      <c r="D28" s="341">
        <f t="shared" ref="D28:M28" si="12">D19</f>
        <v>0</v>
      </c>
      <c r="E28" s="342">
        <f t="shared" si="12"/>
        <v>0</v>
      </c>
      <c r="F28" s="342">
        <f t="shared" si="12"/>
        <v>0</v>
      </c>
      <c r="G28" s="344">
        <f t="shared" si="12"/>
        <v>0</v>
      </c>
      <c r="H28" s="344">
        <f t="shared" si="12"/>
        <v>0</v>
      </c>
      <c r="I28" s="344">
        <f t="shared" si="12"/>
        <v>0</v>
      </c>
      <c r="J28" s="338">
        <f t="shared" si="12"/>
        <v>0</v>
      </c>
      <c r="K28" s="338">
        <f t="shared" si="12"/>
        <v>1943692.3074418893</v>
      </c>
      <c r="L28" s="338">
        <f t="shared" si="12"/>
        <v>2478207.6919884081</v>
      </c>
      <c r="M28" s="346">
        <f t="shared" si="12"/>
        <v>2738455.9438779559</v>
      </c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15">
      <c r="A29" s="319" t="s">
        <v>324</v>
      </c>
      <c r="B29" s="321"/>
      <c r="C29" s="321"/>
      <c r="D29" s="341"/>
      <c r="E29" s="342"/>
      <c r="F29" s="342"/>
      <c r="G29" s="344"/>
      <c r="H29" s="344"/>
      <c r="I29" s="344"/>
      <c r="J29" s="338"/>
      <c r="K29" s="338"/>
      <c r="L29" s="338"/>
      <c r="M29" s="346">
        <f>M28/B27</f>
        <v>39120799.198256508</v>
      </c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15">
      <c r="A30" s="319" t="s">
        <v>325</v>
      </c>
      <c r="B30" s="321">
        <f>'Project Data'!B6</f>
        <v>0.03</v>
      </c>
      <c r="C30" s="321"/>
      <c r="D30" s="400"/>
      <c r="E30" s="401"/>
      <c r="F30" s="401"/>
      <c r="G30" s="402"/>
      <c r="H30" s="402"/>
      <c r="I30" s="402"/>
      <c r="J30" s="404"/>
      <c r="K30" s="404"/>
      <c r="L30" s="404"/>
      <c r="M30" s="346">
        <f>-M29*B30</f>
        <v>-1173623.9759476951</v>
      </c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15">
      <c r="A31" s="370" t="s">
        <v>170</v>
      </c>
      <c r="B31" s="371"/>
      <c r="C31" s="371"/>
      <c r="D31" s="407">
        <f t="shared" ref="D31:M31" si="13">D25</f>
        <v>0</v>
      </c>
      <c r="E31" s="408">
        <f t="shared" si="13"/>
        <v>0</v>
      </c>
      <c r="F31" s="408">
        <f t="shared" si="13"/>
        <v>0</v>
      </c>
      <c r="G31" s="409">
        <f t="shared" si="13"/>
        <v>0</v>
      </c>
      <c r="H31" s="409">
        <f t="shared" si="13"/>
        <v>0</v>
      </c>
      <c r="I31" s="409">
        <f t="shared" si="13"/>
        <v>0</v>
      </c>
      <c r="J31" s="411">
        <f t="shared" si="13"/>
        <v>-15369522.922307588</v>
      </c>
      <c r="K31" s="411">
        <f t="shared" si="13"/>
        <v>-3842380.730576897</v>
      </c>
      <c r="L31" s="411">
        <f t="shared" si="13"/>
        <v>0</v>
      </c>
      <c r="M31" s="413">
        <f t="shared" si="13"/>
        <v>0</v>
      </c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15">
      <c r="A32" s="415" t="s">
        <v>326</v>
      </c>
      <c r="B32" s="417"/>
      <c r="C32" s="417"/>
      <c r="D32" s="419"/>
      <c r="E32" s="421"/>
      <c r="F32" s="421"/>
      <c r="G32" s="423"/>
      <c r="H32" s="423"/>
      <c r="I32" s="423"/>
      <c r="J32" s="425">
        <f t="shared" ref="J32:M32" si="14">SUM(J26:J31)</f>
        <v>-15369522.922307588</v>
      </c>
      <c r="K32" s="425">
        <f t="shared" si="14"/>
        <v>-1898688.4231350077</v>
      </c>
      <c r="L32" s="425">
        <f t="shared" si="14"/>
        <v>2478207.6919884081</v>
      </c>
      <c r="M32" s="427">
        <f t="shared" si="14"/>
        <v>40685631.166186772</v>
      </c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15">
      <c r="A33" s="318" t="s">
        <v>327</v>
      </c>
      <c r="B33" s="321">
        <v>0.08</v>
      </c>
      <c r="C33" s="321"/>
      <c r="D33" s="341"/>
      <c r="E33" s="342"/>
      <c r="F33" s="342"/>
      <c r="G33" s="344"/>
      <c r="H33" s="344"/>
      <c r="I33" s="344"/>
      <c r="J33" s="338"/>
      <c r="K33" s="338"/>
      <c r="L33" s="338"/>
      <c r="M33" s="346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15">
      <c r="A34" s="318" t="s">
        <v>218</v>
      </c>
      <c r="B34" s="321"/>
      <c r="C34" s="321"/>
      <c r="D34" s="428">
        <f t="array" ref="D34">NPV(B33,D32:M32)</f>
        <v>16013575.617169015</v>
      </c>
      <c r="E34" s="342"/>
      <c r="F34" s="342"/>
      <c r="G34" s="344"/>
      <c r="H34" s="344"/>
      <c r="I34" s="344"/>
      <c r="J34" s="338"/>
      <c r="K34" s="338"/>
      <c r="L34" s="338"/>
      <c r="M34" s="346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15">
      <c r="A35" s="318" t="s">
        <v>224</v>
      </c>
      <c r="B35" s="73"/>
      <c r="C35" s="73"/>
      <c r="D35" s="429">
        <f>IRR(D32:M32,B33)</f>
        <v>0.38107547156379185</v>
      </c>
      <c r="E35" s="342"/>
      <c r="F35" s="342"/>
      <c r="G35" s="344"/>
      <c r="H35" s="344"/>
      <c r="I35" s="344"/>
      <c r="J35" s="338"/>
      <c r="K35" s="338"/>
      <c r="L35" s="338"/>
      <c r="M35" s="346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 x14ac:dyDescent="0.15">
      <c r="A36" s="430" t="s">
        <v>229</v>
      </c>
      <c r="B36" s="124"/>
      <c r="C36" s="124"/>
      <c r="D36" s="431"/>
      <c r="E36" s="432"/>
      <c r="F36" s="432"/>
      <c r="G36" s="433"/>
      <c r="H36" s="433"/>
      <c r="I36" s="433"/>
      <c r="J36" s="434"/>
      <c r="K36" s="434"/>
      <c r="L36" s="434"/>
      <c r="M36" s="435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15">
      <c r="A37" s="7"/>
      <c r="B37" s="16"/>
      <c r="C37" s="16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" x14ac:dyDescent="0.1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" x14ac:dyDescent="0.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" x14ac:dyDescent="0.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E3:F3"/>
    <mergeCell ref="G3:I3"/>
    <mergeCell ref="J3:M3"/>
  </mergeCells>
  <phoneticPr fontId="24" type="noConversion"/>
  <conditionalFormatting sqref="C5:M5 C16:M16 C20:M20 C26:M27">
    <cfRule type="cellIs" dxfId="5" priority="1" operator="lessThan">
      <formula>0</formula>
    </cfRule>
  </conditionalFormatting>
  <pageMargins left="0.7" right="0.7" top="0.75" bottom="0.75" header="0.3" footer="0.3"/>
  <pageSetup paperSize="3" orientation="portrait" horizontalDpi="0" verticalDpi="0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topLeftCell="A5" zoomScale="115" workbookViewId="0">
      <selection activeCell="D33" sqref="D32:D33"/>
    </sheetView>
  </sheetViews>
  <sheetFormatPr baseColWidth="10" defaultColWidth="17.33203125" defaultRowHeight="15" customHeight="1" x14ac:dyDescent="0.15"/>
  <cols>
    <col min="1" max="1" width="23.1640625" customWidth="1"/>
    <col min="2" max="13" width="11.5" customWidth="1"/>
    <col min="14" max="23" width="9.1640625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7"/>
      <c r="P1" s="7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15">
      <c r="A2" s="7"/>
      <c r="B2" s="16"/>
      <c r="C2" s="1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15">
      <c r="A3" s="303" t="s">
        <v>43</v>
      </c>
      <c r="B3" s="304"/>
      <c r="C3" s="304" t="s">
        <v>18</v>
      </c>
      <c r="D3" s="305" t="s">
        <v>19</v>
      </c>
      <c r="E3" s="697" t="s">
        <v>20</v>
      </c>
      <c r="F3" s="684"/>
      <c r="G3" s="698" t="s">
        <v>21</v>
      </c>
      <c r="H3" s="677"/>
      <c r="I3" s="684"/>
      <c r="J3" s="694" t="s">
        <v>22</v>
      </c>
      <c r="K3" s="677"/>
      <c r="L3" s="677"/>
      <c r="M3" s="682"/>
      <c r="N3" s="7"/>
      <c r="O3" s="7"/>
      <c r="P3" s="7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15">
      <c r="A4" s="307"/>
      <c r="B4" s="309" t="s">
        <v>25</v>
      </c>
      <c r="C4" s="309" t="s">
        <v>24</v>
      </c>
      <c r="D4" s="310">
        <v>2019</v>
      </c>
      <c r="E4" s="312">
        <f t="shared" ref="E4:M4" si="0">D4+1</f>
        <v>2020</v>
      </c>
      <c r="F4" s="312">
        <f t="shared" si="0"/>
        <v>2021</v>
      </c>
      <c r="G4" s="314">
        <f t="shared" si="0"/>
        <v>2022</v>
      </c>
      <c r="H4" s="314">
        <f t="shared" si="0"/>
        <v>2023</v>
      </c>
      <c r="I4" s="314">
        <f t="shared" si="0"/>
        <v>2024</v>
      </c>
      <c r="J4" s="315">
        <f t="shared" si="0"/>
        <v>2025</v>
      </c>
      <c r="K4" s="315">
        <f t="shared" si="0"/>
        <v>2026</v>
      </c>
      <c r="L4" s="315">
        <f t="shared" si="0"/>
        <v>2027</v>
      </c>
      <c r="M4" s="317">
        <f t="shared" si="0"/>
        <v>2028</v>
      </c>
      <c r="N4" s="7"/>
      <c r="O4" s="7"/>
      <c r="P4" s="7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15">
      <c r="A5" s="343" t="s">
        <v>302</v>
      </c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7"/>
      <c r="N5" s="7"/>
      <c r="O5" s="7"/>
      <c r="P5" s="7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15">
      <c r="A6" s="319" t="s">
        <v>244</v>
      </c>
      <c r="B6" s="331">
        <v>3.5000000000000003E-2</v>
      </c>
      <c r="C6" s="321"/>
      <c r="D6" s="327"/>
      <c r="E6" s="323"/>
      <c r="F6" s="323"/>
      <c r="G6" s="324"/>
      <c r="H6" s="324"/>
      <c r="I6" s="324"/>
      <c r="J6" s="325"/>
      <c r="K6" s="325"/>
      <c r="L6" s="325"/>
      <c r="M6" s="326"/>
      <c r="N6" s="7"/>
      <c r="O6" s="1"/>
      <c r="P6" s="7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15">
      <c r="A7" s="319" t="s">
        <v>57</v>
      </c>
      <c r="B7" s="348">
        <f>'Project Data'!$G$137</f>
        <v>122184</v>
      </c>
      <c r="C7" s="331"/>
      <c r="D7" s="327"/>
      <c r="E7" s="349"/>
      <c r="F7" s="349"/>
      <c r="G7" s="350"/>
      <c r="H7" s="350"/>
      <c r="I7" s="350"/>
      <c r="J7" s="332"/>
      <c r="K7" s="332"/>
      <c r="L7" s="332"/>
      <c r="M7" s="333"/>
      <c r="N7" s="7"/>
      <c r="O7" s="7"/>
      <c r="P7" s="7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15">
      <c r="A8" s="319" t="s">
        <v>308</v>
      </c>
      <c r="B8" s="64">
        <f>'Project Data'!F22</f>
        <v>130</v>
      </c>
      <c r="C8" s="331"/>
      <c r="D8" s="327">
        <f>$B$8</f>
        <v>130</v>
      </c>
      <c r="E8" s="351">
        <f t="shared" ref="E8:M8" si="1">D8*(1+$B$6)</f>
        <v>134.54999999999998</v>
      </c>
      <c r="F8" s="351">
        <f t="shared" si="1"/>
        <v>139.25924999999998</v>
      </c>
      <c r="G8" s="353">
        <f t="shared" si="1"/>
        <v>144.13332374999996</v>
      </c>
      <c r="H8" s="353">
        <f t="shared" si="1"/>
        <v>149.17799008124996</v>
      </c>
      <c r="I8" s="353">
        <f t="shared" si="1"/>
        <v>154.39921973409369</v>
      </c>
      <c r="J8" s="355">
        <f t="shared" si="1"/>
        <v>159.80319242478697</v>
      </c>
      <c r="K8" s="357">
        <f t="shared" si="1"/>
        <v>165.39630415965451</v>
      </c>
      <c r="L8" s="357">
        <f t="shared" si="1"/>
        <v>171.18517480524241</v>
      </c>
      <c r="M8" s="357">
        <f t="shared" si="1"/>
        <v>177.17665592342587</v>
      </c>
      <c r="N8" s="7"/>
      <c r="O8" s="7"/>
      <c r="P8" s="7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15">
      <c r="A9" s="319" t="s">
        <v>310</v>
      </c>
      <c r="B9" s="321">
        <f>'Project Data'!B12</f>
        <v>0.2</v>
      </c>
      <c r="C9" s="331"/>
      <c r="D9" s="327"/>
      <c r="E9" s="351"/>
      <c r="F9" s="351"/>
      <c r="G9" s="353"/>
      <c r="H9" s="353"/>
      <c r="I9" s="353"/>
      <c r="J9" s="355"/>
      <c r="K9" s="357"/>
      <c r="L9" s="357"/>
      <c r="M9" s="359"/>
      <c r="N9" s="7"/>
      <c r="O9" s="7"/>
      <c r="P9" s="7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15">
      <c r="A10" s="319" t="s">
        <v>285</v>
      </c>
      <c r="B10" s="64">
        <f>'Project Data'!B11</f>
        <v>5</v>
      </c>
      <c r="C10" s="331"/>
      <c r="D10" s="327">
        <f>B10</f>
        <v>5</v>
      </c>
      <c r="E10" s="351">
        <f t="shared" ref="E10:M10" si="2">D10*(1+$B$6)</f>
        <v>5.1749999999999998</v>
      </c>
      <c r="F10" s="351">
        <f t="shared" si="2"/>
        <v>5.3561249999999996</v>
      </c>
      <c r="G10" s="353">
        <f t="shared" si="2"/>
        <v>5.5435893749999989</v>
      </c>
      <c r="H10" s="353">
        <f t="shared" si="2"/>
        <v>5.7376150031249988</v>
      </c>
      <c r="I10" s="353">
        <f t="shared" si="2"/>
        <v>5.9384315282343731</v>
      </c>
      <c r="J10" s="355">
        <f t="shared" si="2"/>
        <v>6.1462766317225759</v>
      </c>
      <c r="K10" s="357">
        <f t="shared" si="2"/>
        <v>6.3613963138328655</v>
      </c>
      <c r="L10" s="357">
        <f t="shared" si="2"/>
        <v>6.5840451848170156</v>
      </c>
      <c r="M10" s="357">
        <f t="shared" si="2"/>
        <v>6.8144867662856106</v>
      </c>
      <c r="N10" s="7"/>
      <c r="O10" s="7"/>
      <c r="P10" s="7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15">
      <c r="A11" s="319" t="s">
        <v>311</v>
      </c>
      <c r="B11" s="321"/>
      <c r="C11" s="331"/>
      <c r="D11" s="327"/>
      <c r="E11" s="349"/>
      <c r="F11" s="349"/>
      <c r="G11" s="350"/>
      <c r="H11" s="363"/>
      <c r="I11" s="363"/>
      <c r="J11" s="332"/>
      <c r="K11" s="332">
        <v>0.35</v>
      </c>
      <c r="L11" s="332">
        <v>0.55000000000000004</v>
      </c>
      <c r="M11" s="332">
        <v>0.45</v>
      </c>
      <c r="N11" s="7"/>
      <c r="O11" s="7"/>
      <c r="P11" s="7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15">
      <c r="A12" s="319" t="s">
        <v>312</v>
      </c>
      <c r="B12" s="73"/>
      <c r="C12" s="73"/>
      <c r="D12" s="327"/>
      <c r="E12" s="349"/>
      <c r="F12" s="349"/>
      <c r="G12" s="350"/>
      <c r="H12" s="363"/>
      <c r="I12" s="363"/>
      <c r="J12" s="332"/>
      <c r="K12" s="332">
        <f>K11</f>
        <v>0.35</v>
      </c>
      <c r="L12" s="332">
        <f>L11*0.75</f>
        <v>0.41250000000000003</v>
      </c>
      <c r="M12" s="332">
        <f>100%-(L12+K12)</f>
        <v>0.23750000000000004</v>
      </c>
      <c r="N12" s="7"/>
      <c r="O12" s="7"/>
      <c r="P12" s="7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15">
      <c r="A13" s="319" t="s">
        <v>53</v>
      </c>
      <c r="B13" s="73">
        <f>'Project Data'!$F$19</f>
        <v>850</v>
      </c>
      <c r="C13" s="73"/>
      <c r="D13" s="327"/>
      <c r="E13" s="323"/>
      <c r="F13" s="323"/>
      <c r="G13" s="324"/>
      <c r="H13" s="363"/>
      <c r="I13" s="363"/>
      <c r="J13" s="325"/>
      <c r="K13" s="325"/>
      <c r="L13" s="325"/>
      <c r="M13" s="326"/>
      <c r="N13" s="7"/>
      <c r="O13" s="7"/>
      <c r="P13" s="7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15">
      <c r="A14" s="319" t="s">
        <v>315</v>
      </c>
      <c r="B14" s="331">
        <v>0.85</v>
      </c>
      <c r="C14" s="73"/>
      <c r="D14" s="327"/>
      <c r="E14" s="328"/>
      <c r="F14" s="328"/>
      <c r="G14" s="329"/>
      <c r="H14" s="363"/>
      <c r="I14" s="363"/>
      <c r="J14" s="330"/>
      <c r="K14" s="330"/>
      <c r="L14" s="330"/>
      <c r="M14" s="365"/>
      <c r="N14" s="7"/>
      <c r="O14" s="7"/>
      <c r="P14" s="7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15">
      <c r="A15" s="319" t="s">
        <v>316</v>
      </c>
      <c r="B15" s="331"/>
      <c r="C15" s="73"/>
      <c r="D15" s="327"/>
      <c r="E15" s="328"/>
      <c r="F15" s="328"/>
      <c r="G15" s="329"/>
      <c r="H15" s="363"/>
      <c r="I15" s="363"/>
      <c r="J15" s="367"/>
      <c r="K15" s="367">
        <f>$B$14*K12*$B$7</f>
        <v>36349.74</v>
      </c>
      <c r="L15" s="367">
        <f>$B$14*L12*$B$7</f>
        <v>42840.764999999999</v>
      </c>
      <c r="M15" s="367">
        <f>$B$14*M12*$B$7</f>
        <v>24665.895000000004</v>
      </c>
      <c r="N15" s="7"/>
      <c r="O15" s="7"/>
      <c r="P15" s="7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5" customHeight="1" x14ac:dyDescent="0.15">
      <c r="A16" s="319" t="s">
        <v>318</v>
      </c>
      <c r="B16" s="64">
        <f>'Project Data'!$F$17</f>
        <v>310</v>
      </c>
      <c r="C16" s="331"/>
      <c r="D16" s="327">
        <f>B16</f>
        <v>310</v>
      </c>
      <c r="E16" s="351">
        <f t="shared" ref="E16:I16" si="3">D16*(1+$B$6)</f>
        <v>320.84999999999997</v>
      </c>
      <c r="F16" s="351">
        <f t="shared" si="3"/>
        <v>332.07974999999993</v>
      </c>
      <c r="G16" s="353">
        <f t="shared" si="3"/>
        <v>343.70254124999991</v>
      </c>
      <c r="H16" s="353">
        <f t="shared" si="3"/>
        <v>355.73213019374987</v>
      </c>
      <c r="I16" s="353">
        <f t="shared" si="3"/>
        <v>368.1827547505311</v>
      </c>
      <c r="J16" s="355">
        <f>G16*(1+$B$6)</f>
        <v>355.73213019374987</v>
      </c>
      <c r="K16" s="357">
        <f>J16*(1+$B$6)</f>
        <v>368.1827547505311</v>
      </c>
      <c r="L16" s="357">
        <f>K16*(1+$B$6)</f>
        <v>381.06915116679966</v>
      </c>
      <c r="M16" s="355">
        <f>J16*(1+$B$6)</f>
        <v>368.1827547505311</v>
      </c>
      <c r="N16" s="7"/>
      <c r="O16" s="7"/>
      <c r="P16" s="7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15">
      <c r="A17" s="343" t="s">
        <v>313</v>
      </c>
      <c r="B17" s="345"/>
      <c r="C17" s="345"/>
      <c r="D17" s="345"/>
      <c r="E17" s="345"/>
      <c r="F17" s="345"/>
      <c r="G17" s="345"/>
      <c r="H17" s="345"/>
      <c r="I17" s="345"/>
      <c r="J17" s="345"/>
      <c r="K17" s="345"/>
      <c r="L17" s="345"/>
      <c r="M17" s="345"/>
      <c r="N17" s="7"/>
      <c r="O17" s="7"/>
      <c r="P17" s="7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5" customHeight="1" x14ac:dyDescent="0.15">
      <c r="A18" s="374" t="s">
        <v>319</v>
      </c>
      <c r="B18" s="345"/>
      <c r="C18" s="345"/>
      <c r="D18" s="376"/>
      <c r="E18" s="378"/>
      <c r="F18" s="378"/>
      <c r="G18" s="379"/>
      <c r="H18" s="380"/>
      <c r="I18" s="380"/>
      <c r="J18" s="381"/>
      <c r="K18" s="381">
        <f>K15*K16</f>
        <v>13383347.407665569</v>
      </c>
      <c r="L18" s="381">
        <f>L15*L16</f>
        <v>16325293.953886339</v>
      </c>
      <c r="M18" s="381">
        <f>M15*M16</f>
        <v>9081557.1694873534</v>
      </c>
      <c r="N18" s="7"/>
      <c r="O18" s="7"/>
      <c r="P18" s="7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15">
      <c r="A19" s="319" t="s">
        <v>322</v>
      </c>
      <c r="B19" s="321">
        <f>'Project Data'!B6</f>
        <v>0.03</v>
      </c>
      <c r="C19" s="321"/>
      <c r="D19" s="334"/>
      <c r="E19" s="335"/>
      <c r="F19" s="335"/>
      <c r="G19" s="336"/>
      <c r="H19" s="363"/>
      <c r="I19" s="363"/>
      <c r="J19" s="383"/>
      <c r="K19" s="383">
        <f>$B$19*K18</f>
        <v>401500.42222996708</v>
      </c>
      <c r="L19" s="383">
        <f>$B$19*L18</f>
        <v>489758.81861659017</v>
      </c>
      <c r="M19" s="357">
        <f>$B$19*M18</f>
        <v>272446.71508462058</v>
      </c>
      <c r="N19" s="7"/>
      <c r="O19" s="7"/>
      <c r="P19" s="7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 x14ac:dyDescent="0.15">
      <c r="A20" s="319" t="s">
        <v>177</v>
      </c>
      <c r="B20" s="385"/>
      <c r="C20" s="387"/>
      <c r="D20" s="388"/>
      <c r="E20" s="389"/>
      <c r="F20" s="389"/>
      <c r="G20" s="392"/>
      <c r="H20" s="393"/>
      <c r="I20" s="393"/>
      <c r="J20" s="394"/>
      <c r="K20" s="395">
        <f>K18-SUM(K19)</f>
        <v>12981846.985435601</v>
      </c>
      <c r="L20" s="395">
        <f>L18-SUM(L19)</f>
        <v>15835535.13526975</v>
      </c>
      <c r="M20" s="394">
        <f>M18-SUM(M19)</f>
        <v>8809110.4544027336</v>
      </c>
      <c r="N20" s="7"/>
      <c r="O20" s="7"/>
      <c r="P20" s="7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15">
      <c r="A21" s="343" t="s">
        <v>106</v>
      </c>
      <c r="B21" s="345"/>
      <c r="C21" s="345"/>
      <c r="D21" s="345"/>
      <c r="E21" s="345"/>
      <c r="F21" s="345"/>
      <c r="G21" s="345"/>
      <c r="H21" s="345"/>
      <c r="I21" s="345"/>
      <c r="J21" s="345"/>
      <c r="K21" s="345"/>
      <c r="L21" s="345"/>
      <c r="M21" s="347"/>
      <c r="N21" s="7"/>
      <c r="O21" s="7"/>
      <c r="P21" s="7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15">
      <c r="A22" s="319" t="s">
        <v>320</v>
      </c>
      <c r="B22" s="73"/>
      <c r="C22" s="73"/>
      <c r="D22" s="398"/>
      <c r="E22" s="342"/>
      <c r="F22" s="342"/>
      <c r="G22" s="344"/>
      <c r="H22" s="344"/>
      <c r="I22" s="344"/>
      <c r="J22" s="332">
        <v>0.35</v>
      </c>
      <c r="K22" s="332">
        <v>0.2</v>
      </c>
      <c r="L22" s="332">
        <v>0.45</v>
      </c>
      <c r="M22" s="333"/>
      <c r="N22" s="7"/>
      <c r="O22" s="7"/>
      <c r="P22" s="7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15">
      <c r="A23" s="319" t="s">
        <v>321</v>
      </c>
      <c r="B23" s="73"/>
      <c r="C23" s="321"/>
      <c r="D23" s="398"/>
      <c r="E23" s="349"/>
      <c r="F23" s="349"/>
      <c r="G23" s="350"/>
      <c r="H23" s="350"/>
      <c r="I23" s="350"/>
      <c r="J23" s="332">
        <f t="shared" ref="J23:M23" si="4">I23+J22</f>
        <v>0.35</v>
      </c>
      <c r="K23" s="332">
        <f t="shared" si="4"/>
        <v>0.55000000000000004</v>
      </c>
      <c r="L23" s="332">
        <f t="shared" si="4"/>
        <v>1</v>
      </c>
      <c r="M23" s="332">
        <f t="shared" si="4"/>
        <v>1</v>
      </c>
      <c r="N23" s="7"/>
      <c r="O23" s="7"/>
      <c r="P23" s="7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15">
      <c r="A24" s="319" t="s">
        <v>323</v>
      </c>
      <c r="B24" s="73"/>
      <c r="C24" s="73"/>
      <c r="D24" s="398"/>
      <c r="E24" s="342"/>
      <c r="F24" s="342"/>
      <c r="G24" s="344"/>
      <c r="H24" s="363"/>
      <c r="I24" s="363"/>
      <c r="J24" s="338">
        <f t="shared" ref="J24:L24" si="5">-$B$7*J8*J22</f>
        <v>-6833887.6421305593</v>
      </c>
      <c r="K24" s="338">
        <f t="shared" si="5"/>
        <v>-4041756.4054886457</v>
      </c>
      <c r="L24" s="338">
        <f t="shared" si="5"/>
        <v>-9412240.2292816825</v>
      </c>
      <c r="M24" s="346"/>
      <c r="N24" s="7"/>
      <c r="O24" s="7"/>
      <c r="P24" s="7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 x14ac:dyDescent="0.15">
      <c r="A25" s="319" t="s">
        <v>310</v>
      </c>
      <c r="B25" s="321">
        <f>'Project Data'!B12</f>
        <v>0.2</v>
      </c>
      <c r="C25" s="73"/>
      <c r="D25" s="399"/>
      <c r="E25" s="342"/>
      <c r="F25" s="342"/>
      <c r="G25" s="344"/>
      <c r="H25" s="363"/>
      <c r="I25" s="363"/>
      <c r="J25" s="338">
        <f t="shared" ref="J25:L25" si="6">$B$9*J24</f>
        <v>-1366777.5284261119</v>
      </c>
      <c r="K25" s="338">
        <f t="shared" si="6"/>
        <v>-808351.28109772922</v>
      </c>
      <c r="L25" s="338">
        <f t="shared" si="6"/>
        <v>-1882448.0458563366</v>
      </c>
      <c r="M25" s="346"/>
      <c r="N25" s="7"/>
      <c r="O25" s="7"/>
      <c r="P25" s="7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15">
      <c r="A26" s="319" t="s">
        <v>170</v>
      </c>
      <c r="B26" s="385"/>
      <c r="C26" s="387"/>
      <c r="D26" s="388"/>
      <c r="E26" s="389"/>
      <c r="F26" s="389"/>
      <c r="G26" s="392"/>
      <c r="H26" s="393"/>
      <c r="I26" s="393"/>
      <c r="J26" s="338">
        <f t="shared" ref="J26:L26" si="7">SUM(J24:J25)</f>
        <v>-8200665.170556671</v>
      </c>
      <c r="K26" s="338">
        <f t="shared" si="7"/>
        <v>-4850107.6865863744</v>
      </c>
      <c r="L26" s="338">
        <f t="shared" si="7"/>
        <v>-11294688.275138019</v>
      </c>
      <c r="M26" s="397"/>
      <c r="N26" s="7"/>
      <c r="O26" s="7"/>
      <c r="P26" s="7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15">
      <c r="A27" s="343" t="s">
        <v>174</v>
      </c>
      <c r="B27" s="345"/>
      <c r="C27" s="345"/>
      <c r="D27" s="345"/>
      <c r="E27" s="345"/>
      <c r="F27" s="345"/>
      <c r="G27" s="345"/>
      <c r="H27" s="345"/>
      <c r="I27" s="345"/>
      <c r="J27" s="345"/>
      <c r="K27" s="345"/>
      <c r="L27" s="345"/>
      <c r="M27" s="347"/>
      <c r="N27" s="7"/>
      <c r="O27" s="7"/>
      <c r="P27" s="7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15">
      <c r="A28" s="319" t="s">
        <v>177</v>
      </c>
      <c r="B28" s="73"/>
      <c r="C28" s="73"/>
      <c r="D28" s="403"/>
      <c r="E28" s="405"/>
      <c r="F28" s="405"/>
      <c r="G28" s="406"/>
      <c r="H28" s="406"/>
      <c r="I28" s="406"/>
      <c r="J28" s="357">
        <f>J20</f>
        <v>0</v>
      </c>
      <c r="K28" s="357">
        <f>K20</f>
        <v>12981846.985435601</v>
      </c>
      <c r="L28" s="357">
        <f>L20</f>
        <v>15835535.13526975</v>
      </c>
      <c r="M28" s="359">
        <f>M20</f>
        <v>8809110.4544027336</v>
      </c>
      <c r="N28" s="7"/>
      <c r="O28" s="7"/>
      <c r="P28" s="7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15">
      <c r="A29" s="319" t="s">
        <v>170</v>
      </c>
      <c r="B29" s="321"/>
      <c r="C29" s="321"/>
      <c r="D29" s="399"/>
      <c r="E29" s="384"/>
      <c r="F29" s="384"/>
      <c r="G29" s="386"/>
      <c r="H29" s="386"/>
      <c r="I29" s="386"/>
      <c r="J29" s="338">
        <f t="shared" ref="J29:L29" si="8">J26</f>
        <v>-8200665.170556671</v>
      </c>
      <c r="K29" s="338">
        <f t="shared" si="8"/>
        <v>-4850107.6865863744</v>
      </c>
      <c r="L29" s="338">
        <f t="shared" si="8"/>
        <v>-11294688.275138019</v>
      </c>
      <c r="M29" s="346"/>
      <c r="N29" s="7"/>
      <c r="O29" s="7"/>
      <c r="P29" s="7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15">
      <c r="A30" s="410" t="s">
        <v>326</v>
      </c>
      <c r="B30" s="412"/>
      <c r="C30" s="412"/>
      <c r="D30" s="414"/>
      <c r="E30" s="416"/>
      <c r="F30" s="416"/>
      <c r="G30" s="418"/>
      <c r="H30" s="418"/>
      <c r="I30" s="418"/>
      <c r="J30" s="420">
        <f t="shared" ref="J30:L30" si="9">J28+J29</f>
        <v>-8200665.170556671</v>
      </c>
      <c r="K30" s="420">
        <f t="shared" si="9"/>
        <v>8131739.2988492269</v>
      </c>
      <c r="L30" s="420">
        <f t="shared" si="9"/>
        <v>4540846.8601317313</v>
      </c>
      <c r="M30" s="422"/>
      <c r="N30" s="7"/>
      <c r="O30" s="7"/>
      <c r="P30" s="7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15">
      <c r="A31" s="415" t="s">
        <v>327</v>
      </c>
      <c r="B31" s="424">
        <v>0.08</v>
      </c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26"/>
      <c r="N31" s="7"/>
      <c r="O31" s="7"/>
      <c r="P31" s="7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15">
      <c r="A32" s="318" t="s">
        <v>218</v>
      </c>
      <c r="B32" s="321"/>
      <c r="C32" s="321"/>
      <c r="D32" s="428">
        <f t="array" ref="D32">NPV(B31,D30:M30)</f>
        <v>2983117.9253286421</v>
      </c>
      <c r="E32" s="384"/>
      <c r="F32" s="384"/>
      <c r="G32" s="386"/>
      <c r="H32" s="386"/>
      <c r="I32" s="386"/>
      <c r="J32" s="390"/>
      <c r="K32" s="390"/>
      <c r="L32" s="390"/>
      <c r="M32" s="391"/>
      <c r="N32" s="7"/>
      <c r="O32" s="7"/>
      <c r="P32" s="7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15">
      <c r="A33" s="318" t="s">
        <v>224</v>
      </c>
      <c r="B33" s="73"/>
      <c r="C33" s="73"/>
      <c r="D33" s="429">
        <f>IRR(D30:M30,B31)</f>
        <v>0.38996313257902759</v>
      </c>
      <c r="E33" s="342"/>
      <c r="F33" s="342"/>
      <c r="G33" s="344"/>
      <c r="H33" s="344"/>
      <c r="I33" s="344"/>
      <c r="J33" s="338"/>
      <c r="K33" s="338"/>
      <c r="L33" s="338"/>
      <c r="M33" s="346"/>
      <c r="N33" s="7"/>
      <c r="O33" s="7"/>
      <c r="P33" s="7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15">
      <c r="A34" s="430" t="s">
        <v>229</v>
      </c>
      <c r="B34" s="124"/>
      <c r="C34" s="124"/>
      <c r="D34" s="431"/>
      <c r="E34" s="432"/>
      <c r="F34" s="432"/>
      <c r="G34" s="433"/>
      <c r="H34" s="433"/>
      <c r="I34" s="433"/>
      <c r="J34" s="434"/>
      <c r="K34" s="434"/>
      <c r="L34" s="434"/>
      <c r="M34" s="435"/>
      <c r="N34" s="7"/>
      <c r="O34" s="7"/>
      <c r="P34" s="7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15">
      <c r="A35" s="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7"/>
      <c r="P35" s="7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15">
      <c r="A36" s="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7"/>
      <c r="P36" s="7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15">
      <c r="A37" s="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7"/>
      <c r="P37" s="7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15">
      <c r="A38" s="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7"/>
      <c r="P38" s="7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15">
      <c r="A39" s="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7"/>
      <c r="P39" s="7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15">
      <c r="A40" s="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7"/>
      <c r="P40" s="7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15">
      <c r="A41" s="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7"/>
      <c r="P41" s="7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15">
      <c r="A42" s="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7"/>
      <c r="P42" s="7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15">
      <c r="A43" s="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7"/>
      <c r="P43" s="7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15">
      <c r="A44" s="7"/>
      <c r="B44" s="16"/>
      <c r="C44" s="1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E3:F3"/>
    <mergeCell ref="G3:I3"/>
    <mergeCell ref="J3:M3"/>
  </mergeCells>
  <phoneticPr fontId="24" type="noConversion"/>
  <conditionalFormatting sqref="B31:M34 B6:M29">
    <cfRule type="cellIs" dxfId="4" priority="1" operator="lessThan">
      <formula>0</formula>
    </cfRule>
  </conditionalFormatting>
  <pageMargins left="0.7" right="0.7" top="0.75" bottom="0.75" header="0.3" footer="0.3"/>
  <pageSetup paperSize="3" orientation="portrait" horizontalDpi="0" verticalDpi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41" sqref="C41"/>
    </sheetView>
  </sheetViews>
  <sheetFormatPr baseColWidth="10" defaultColWidth="17.33203125" defaultRowHeight="15" customHeight="1" x14ac:dyDescent="0.15"/>
  <cols>
    <col min="1" max="1" width="23.33203125" customWidth="1"/>
    <col min="2" max="13" width="11.5" customWidth="1"/>
    <col min="14" max="14" width="9.1640625" customWidth="1"/>
    <col min="15" max="15" width="27.83203125" customWidth="1"/>
    <col min="16" max="26" width="9.1640625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7"/>
      <c r="P1" s="7"/>
      <c r="Q1" s="7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15">
      <c r="A2" s="7"/>
      <c r="B2" s="16"/>
      <c r="C2" s="1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15">
      <c r="A3" s="303" t="s">
        <v>237</v>
      </c>
      <c r="B3" s="304"/>
      <c r="C3" s="304" t="s">
        <v>18</v>
      </c>
      <c r="D3" s="305" t="s">
        <v>19</v>
      </c>
      <c r="E3" s="697" t="s">
        <v>20</v>
      </c>
      <c r="F3" s="684"/>
      <c r="G3" s="698" t="s">
        <v>21</v>
      </c>
      <c r="H3" s="677"/>
      <c r="I3" s="684"/>
      <c r="J3" s="694" t="s">
        <v>22</v>
      </c>
      <c r="K3" s="677"/>
      <c r="L3" s="677"/>
      <c r="M3" s="682"/>
      <c r="N3" s="7"/>
      <c r="O3" s="11" t="s">
        <v>328</v>
      </c>
      <c r="P3" s="7"/>
      <c r="Q3" s="7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15">
      <c r="A4" s="307"/>
      <c r="B4" s="309" t="s">
        <v>25</v>
      </c>
      <c r="C4" s="309" t="s">
        <v>24</v>
      </c>
      <c r="D4" s="310">
        <v>2019</v>
      </c>
      <c r="E4" s="312">
        <f t="shared" ref="E4:M4" si="0">D4+1</f>
        <v>2020</v>
      </c>
      <c r="F4" s="312">
        <f t="shared" si="0"/>
        <v>2021</v>
      </c>
      <c r="G4" s="314">
        <f t="shared" si="0"/>
        <v>2022</v>
      </c>
      <c r="H4" s="314">
        <f t="shared" si="0"/>
        <v>2023</v>
      </c>
      <c r="I4" s="314">
        <f t="shared" si="0"/>
        <v>2024</v>
      </c>
      <c r="J4" s="315">
        <f t="shared" si="0"/>
        <v>2025</v>
      </c>
      <c r="K4" s="315">
        <f t="shared" si="0"/>
        <v>2026</v>
      </c>
      <c r="L4" s="315">
        <f t="shared" si="0"/>
        <v>2027</v>
      </c>
      <c r="M4" s="317">
        <f t="shared" si="0"/>
        <v>2028</v>
      </c>
      <c r="N4" s="7"/>
      <c r="O4" s="7" t="s">
        <v>329</v>
      </c>
      <c r="P4" s="436">
        <v>30800</v>
      </c>
      <c r="Q4" s="7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15">
      <c r="A5" s="318" t="s">
        <v>302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4"/>
      <c r="N5" s="7"/>
      <c r="O5" s="7" t="s">
        <v>330</v>
      </c>
      <c r="P5" s="7">
        <f>0.33*P4</f>
        <v>10164</v>
      </c>
      <c r="Q5" s="7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15">
      <c r="A6" s="319" t="s">
        <v>244</v>
      </c>
      <c r="B6" s="321">
        <v>0.03</v>
      </c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146"/>
      <c r="N6" s="7"/>
      <c r="O6" s="7" t="s">
        <v>331</v>
      </c>
      <c r="P6" s="7">
        <f>P5/12</f>
        <v>847</v>
      </c>
      <c r="Q6" s="7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15">
      <c r="A7" s="319" t="s">
        <v>303</v>
      </c>
      <c r="B7" s="73">
        <f>'Project Data'!$D$19</f>
        <v>800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74"/>
      <c r="N7" s="7"/>
      <c r="O7" s="4" t="s">
        <v>303</v>
      </c>
      <c r="P7" s="4">
        <v>800</v>
      </c>
      <c r="Q7" s="7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15">
      <c r="A8" s="319" t="s">
        <v>304</v>
      </c>
      <c r="B8" s="321">
        <v>0.9</v>
      </c>
      <c r="C8" s="73"/>
      <c r="D8" s="73"/>
      <c r="E8" s="73"/>
      <c r="F8" s="73"/>
      <c r="G8" s="73"/>
      <c r="H8" s="73"/>
      <c r="I8" s="73"/>
      <c r="J8" s="73"/>
      <c r="K8" s="73"/>
      <c r="L8" s="73"/>
      <c r="M8" s="74"/>
      <c r="N8" s="7"/>
      <c r="O8" s="4" t="s">
        <v>132</v>
      </c>
      <c r="P8" s="437">
        <v>0.5</v>
      </c>
      <c r="Q8" s="7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15">
      <c r="A9" s="319" t="s">
        <v>332</v>
      </c>
      <c r="B9" s="64">
        <f>'Project Data'!$D$18*12</f>
        <v>21.6</v>
      </c>
      <c r="C9" s="73"/>
      <c r="D9" s="327">
        <f>B9</f>
        <v>21.6</v>
      </c>
      <c r="E9" s="328">
        <f t="shared" ref="E9:M9" si="1">D9*(1+$B$6)</f>
        <v>22.248000000000001</v>
      </c>
      <c r="F9" s="328">
        <f t="shared" si="1"/>
        <v>22.91544</v>
      </c>
      <c r="G9" s="329">
        <f t="shared" si="1"/>
        <v>23.6029032</v>
      </c>
      <c r="H9" s="438">
        <f t="shared" si="1"/>
        <v>24.310990296</v>
      </c>
      <c r="I9" s="438">
        <f t="shared" si="1"/>
        <v>25.040320004880002</v>
      </c>
      <c r="J9" s="367">
        <f t="shared" si="1"/>
        <v>25.791529605026401</v>
      </c>
      <c r="K9" s="367">
        <f t="shared" si="1"/>
        <v>26.565275493177193</v>
      </c>
      <c r="L9" s="325">
        <f t="shared" si="1"/>
        <v>27.362233757972511</v>
      </c>
      <c r="M9" s="326">
        <f t="shared" si="1"/>
        <v>28.183100770711686</v>
      </c>
      <c r="N9" s="7"/>
      <c r="O9" s="4" t="s">
        <v>55</v>
      </c>
      <c r="P9" s="439">
        <v>105</v>
      </c>
      <c r="Q9" s="7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15">
      <c r="A10" s="319" t="s">
        <v>305</v>
      </c>
      <c r="B10" s="331">
        <v>0.85</v>
      </c>
      <c r="C10" s="331"/>
      <c r="D10" s="322"/>
      <c r="E10" s="323"/>
      <c r="F10" s="323"/>
      <c r="G10" s="324"/>
      <c r="H10" s="350">
        <f>B10</f>
        <v>0.85</v>
      </c>
      <c r="I10" s="350">
        <f t="shared" ref="I10:M10" si="2">H10+3%</f>
        <v>0.88</v>
      </c>
      <c r="J10" s="332">
        <f t="shared" si="2"/>
        <v>0.91</v>
      </c>
      <c r="K10" s="332">
        <f t="shared" si="2"/>
        <v>0.94000000000000006</v>
      </c>
      <c r="L10" s="332">
        <f t="shared" si="2"/>
        <v>0.97000000000000008</v>
      </c>
      <c r="M10" s="333">
        <f t="shared" si="2"/>
        <v>1</v>
      </c>
      <c r="N10" s="7"/>
      <c r="O10" s="4" t="s">
        <v>56</v>
      </c>
      <c r="P10" s="440">
        <v>0.2</v>
      </c>
      <c r="Q10" s="7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15">
      <c r="A11" s="319" t="s">
        <v>333</v>
      </c>
      <c r="B11" s="348">
        <f>('Project Data'!$G$134)*0.2+('Project Data'!$G$133)/3</f>
        <v>25491.599999999999</v>
      </c>
      <c r="C11" s="331"/>
      <c r="D11" s="327"/>
      <c r="E11" s="349"/>
      <c r="F11" s="349"/>
      <c r="G11" s="350"/>
      <c r="H11" s="441"/>
      <c r="I11" s="441"/>
      <c r="J11" s="442"/>
      <c r="K11" s="443"/>
      <c r="L11" s="338"/>
      <c r="M11" s="346"/>
      <c r="N11" s="7"/>
      <c r="O11" s="7"/>
      <c r="P11" s="7"/>
      <c r="Q11" s="7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15">
      <c r="A12" s="319" t="s">
        <v>307</v>
      </c>
      <c r="B12" s="64">
        <f>'Project Data'!D22</f>
        <v>105</v>
      </c>
      <c r="C12" s="331"/>
      <c r="D12" s="327">
        <f>$B$12</f>
        <v>105</v>
      </c>
      <c r="E12" s="351">
        <f t="shared" ref="E12:K12" si="3">D12*(1+$B$6)</f>
        <v>108.15</v>
      </c>
      <c r="F12" s="351">
        <f t="shared" si="3"/>
        <v>111.39450000000001</v>
      </c>
      <c r="G12" s="444">
        <f t="shared" si="3"/>
        <v>114.73633500000001</v>
      </c>
      <c r="H12" s="444">
        <f t="shared" si="3"/>
        <v>118.17842505000002</v>
      </c>
      <c r="I12" s="444">
        <f t="shared" si="3"/>
        <v>121.72377780150002</v>
      </c>
      <c r="J12" s="355">
        <f t="shared" si="3"/>
        <v>125.37549113554502</v>
      </c>
      <c r="K12" s="445">
        <f t="shared" si="3"/>
        <v>129.13675586961136</v>
      </c>
      <c r="L12" s="337"/>
      <c r="M12" s="339"/>
      <c r="N12" s="7"/>
      <c r="O12" s="7"/>
      <c r="P12" s="7"/>
      <c r="Q12" s="7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15">
      <c r="A13" s="446" t="s">
        <v>309</v>
      </c>
      <c r="B13" s="64">
        <f>'Project Data'!$D$20*12</f>
        <v>3.5999999999999996</v>
      </c>
      <c r="C13" s="64"/>
      <c r="D13" s="403">
        <f>B13</f>
        <v>3.5999999999999996</v>
      </c>
      <c r="E13" s="351">
        <f t="shared" ref="E13:M13" si="4">D13*(1+$B$6)</f>
        <v>3.7079999999999997</v>
      </c>
      <c r="F13" s="351">
        <f t="shared" si="4"/>
        <v>3.8192399999999997</v>
      </c>
      <c r="G13" s="444">
        <f t="shared" si="4"/>
        <v>3.9338172</v>
      </c>
      <c r="H13" s="444">
        <f t="shared" si="4"/>
        <v>4.0518317159999997</v>
      </c>
      <c r="I13" s="444">
        <f t="shared" si="4"/>
        <v>4.17338666748</v>
      </c>
      <c r="J13" s="355">
        <f t="shared" si="4"/>
        <v>4.2985882675044005</v>
      </c>
      <c r="K13" s="355">
        <f t="shared" si="4"/>
        <v>4.4275459155295325</v>
      </c>
      <c r="L13" s="357">
        <f t="shared" si="4"/>
        <v>4.5603722929954182</v>
      </c>
      <c r="M13" s="359">
        <f t="shared" si="4"/>
        <v>4.697183461785281</v>
      </c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15">
      <c r="A14" s="318" t="s">
        <v>313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4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15">
      <c r="A15" s="319" t="s">
        <v>314</v>
      </c>
      <c r="B15" s="73"/>
      <c r="C15" s="73"/>
      <c r="D15" s="341"/>
      <c r="E15" s="342"/>
      <c r="F15" s="342"/>
      <c r="G15" s="344"/>
      <c r="H15" s="344">
        <f t="shared" ref="H15:M15" si="5">H9*$B$11*$B$8*H10*$G19</f>
        <v>222497.92708149762</v>
      </c>
      <c r="I15" s="344">
        <f t="shared" si="5"/>
        <v>237261.31894902288</v>
      </c>
      <c r="J15" s="338">
        <f t="shared" si="5"/>
        <v>252710.26619422628</v>
      </c>
      <c r="K15" s="338">
        <f t="shared" si="5"/>
        <v>268872.61508708779</v>
      </c>
      <c r="L15" s="338">
        <f t="shared" si="5"/>
        <v>285777.26567394624</v>
      </c>
      <c r="M15" s="346">
        <f t="shared" si="5"/>
        <v>303454.20994243777</v>
      </c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5" customHeight="1" x14ac:dyDescent="0.15">
      <c r="A16" s="319" t="s">
        <v>334</v>
      </c>
      <c r="B16" s="73"/>
      <c r="C16" s="73"/>
      <c r="D16" s="368"/>
      <c r="E16" s="342"/>
      <c r="F16" s="342"/>
      <c r="G16" s="344"/>
      <c r="H16" s="344">
        <f t="shared" ref="H16:M16" si="6">H13*$B$11*H10*$B$8*$G19</f>
        <v>37082.987846916265</v>
      </c>
      <c r="I16" s="344">
        <f t="shared" si="6"/>
        <v>39543.553158170478</v>
      </c>
      <c r="J16" s="338">
        <f t="shared" si="6"/>
        <v>42118.377699037723</v>
      </c>
      <c r="K16" s="338">
        <f t="shared" si="6"/>
        <v>44812.102514514634</v>
      </c>
      <c r="L16" s="338">
        <f t="shared" si="6"/>
        <v>47629.544278991038</v>
      </c>
      <c r="M16" s="346">
        <f t="shared" si="6"/>
        <v>50575.701657072954</v>
      </c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15">
      <c r="A17" s="318" t="s">
        <v>177</v>
      </c>
      <c r="B17" s="73"/>
      <c r="C17" s="73"/>
      <c r="D17" s="447"/>
      <c r="E17" s="448"/>
      <c r="F17" s="448"/>
      <c r="G17" s="449"/>
      <c r="H17" s="449">
        <f t="shared" ref="H17:M17" si="7">H15-(H16)</f>
        <v>185414.93923458137</v>
      </c>
      <c r="I17" s="449">
        <f t="shared" si="7"/>
        <v>197717.7657908524</v>
      </c>
      <c r="J17" s="450">
        <f t="shared" si="7"/>
        <v>210591.88849518856</v>
      </c>
      <c r="K17" s="450">
        <f t="shared" si="7"/>
        <v>224060.51257257315</v>
      </c>
      <c r="L17" s="450">
        <f t="shared" si="7"/>
        <v>238147.72139495521</v>
      </c>
      <c r="M17" s="451">
        <f t="shared" si="7"/>
        <v>252878.50828536481</v>
      </c>
      <c r="N17" s="7"/>
      <c r="O17" s="7"/>
      <c r="P17" s="7"/>
      <c r="Q17" s="7"/>
      <c r="R17" s="2"/>
      <c r="S17" s="2"/>
      <c r="T17" s="2"/>
      <c r="U17" s="2"/>
      <c r="V17" s="2"/>
      <c r="W17" s="2"/>
      <c r="X17" s="2"/>
      <c r="Y17" s="2"/>
      <c r="Z17" s="2"/>
    </row>
    <row r="18" spans="1:26" ht="13.5" customHeight="1" x14ac:dyDescent="0.15">
      <c r="A18" s="318" t="s">
        <v>106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4"/>
      <c r="N18" s="7"/>
      <c r="O18" s="7"/>
      <c r="P18" s="7"/>
      <c r="Q18" s="7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15">
      <c r="A19" s="319" t="s">
        <v>320</v>
      </c>
      <c r="B19" s="73"/>
      <c r="C19" s="331"/>
      <c r="D19" s="327"/>
      <c r="E19" s="349"/>
      <c r="F19" s="349"/>
      <c r="G19" s="350">
        <f>('Project Data'!$G$134)*0.2/B11</f>
        <v>0.46931538232201986</v>
      </c>
      <c r="H19" s="350"/>
      <c r="I19" s="350"/>
      <c r="J19" s="332">
        <f>('Project Data'!$G$133)/3/B11</f>
        <v>0.53068461767798025</v>
      </c>
      <c r="K19" s="332"/>
      <c r="L19" s="332"/>
      <c r="M19" s="333"/>
      <c r="N19" s="7"/>
      <c r="O19" s="7"/>
      <c r="P19" s="7"/>
      <c r="Q19" s="7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 x14ac:dyDescent="0.15">
      <c r="A20" s="319" t="s">
        <v>335</v>
      </c>
      <c r="B20" s="73"/>
      <c r="C20" s="321"/>
      <c r="D20" s="382">
        <f>D19</f>
        <v>0</v>
      </c>
      <c r="E20" s="349"/>
      <c r="F20" s="349"/>
      <c r="G20" s="350">
        <f t="shared" ref="G20:M20" si="8">F20+G19</f>
        <v>0.46931538232201986</v>
      </c>
      <c r="H20" s="452">
        <f t="shared" si="8"/>
        <v>0.46931538232201986</v>
      </c>
      <c r="I20" s="452">
        <f t="shared" si="8"/>
        <v>0.46931538232201986</v>
      </c>
      <c r="J20" s="332">
        <f t="shared" si="8"/>
        <v>1</v>
      </c>
      <c r="K20" s="332">
        <f t="shared" si="8"/>
        <v>1</v>
      </c>
      <c r="L20" s="332">
        <f t="shared" si="8"/>
        <v>1</v>
      </c>
      <c r="M20" s="332">
        <f t="shared" si="8"/>
        <v>1</v>
      </c>
      <c r="N20" s="7"/>
      <c r="O20" s="7"/>
      <c r="P20" s="7"/>
      <c r="Q20" s="7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15">
      <c r="A21" s="319" t="s">
        <v>323</v>
      </c>
      <c r="B21" s="73"/>
      <c r="C21" s="73"/>
      <c r="D21" s="341"/>
      <c r="E21" s="384"/>
      <c r="F21" s="384"/>
      <c r="G21" s="344">
        <f>-G12*$B$11*G19</f>
        <v>-1372659.6174060002</v>
      </c>
      <c r="H21" s="386"/>
      <c r="I21" s="386"/>
      <c r="J21" s="338">
        <f>-J12*$B$11*J19</f>
        <v>-1696079.6440816531</v>
      </c>
      <c r="K21" s="338"/>
      <c r="L21" s="390"/>
      <c r="M21" s="391"/>
      <c r="N21" s="7"/>
      <c r="O21" s="7"/>
      <c r="P21" s="7"/>
      <c r="Q21" s="7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15">
      <c r="A22" s="319" t="s">
        <v>56</v>
      </c>
      <c r="B22" s="331">
        <f>'Project Data'!B12</f>
        <v>0.2</v>
      </c>
      <c r="C22" s="73"/>
      <c r="D22" s="341"/>
      <c r="E22" s="384"/>
      <c r="F22" s="384"/>
      <c r="G22" s="344">
        <f>$B$22*G21</f>
        <v>-274531.92348120006</v>
      </c>
      <c r="H22" s="386"/>
      <c r="I22" s="386"/>
      <c r="J22" s="338">
        <f>$B$22*J21</f>
        <v>-339215.92881633062</v>
      </c>
      <c r="K22" s="338"/>
      <c r="L22" s="390"/>
      <c r="M22" s="391"/>
      <c r="N22" s="7"/>
      <c r="O22" s="7"/>
      <c r="P22" s="7"/>
      <c r="Q22" s="7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15">
      <c r="A23" s="318" t="s">
        <v>170</v>
      </c>
      <c r="B23" s="73"/>
      <c r="C23" s="73"/>
      <c r="D23" s="447"/>
      <c r="E23" s="448"/>
      <c r="F23" s="448"/>
      <c r="G23" s="449">
        <f>SUM(G21:G22)</f>
        <v>-1647191.5408872003</v>
      </c>
      <c r="H23" s="449"/>
      <c r="I23" s="449"/>
      <c r="J23" s="450">
        <f>SUM(J21:J22)</f>
        <v>-2035295.5728979837</v>
      </c>
      <c r="K23" s="450"/>
      <c r="L23" s="450"/>
      <c r="M23" s="451"/>
      <c r="N23" s="7"/>
      <c r="O23" s="7"/>
      <c r="P23" s="7"/>
      <c r="Q23" s="7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15">
      <c r="A24" s="318" t="s">
        <v>174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4"/>
      <c r="N24" s="7"/>
      <c r="O24" s="7"/>
      <c r="P24" s="7"/>
      <c r="Q24" s="7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 x14ac:dyDescent="0.15">
      <c r="A25" s="319" t="s">
        <v>61</v>
      </c>
      <c r="B25" s="321">
        <v>7.0000000000000007E-2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4"/>
      <c r="N25" s="7"/>
      <c r="O25" s="7"/>
      <c r="P25" s="7"/>
      <c r="Q25" s="7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15">
      <c r="A26" s="319" t="s">
        <v>177</v>
      </c>
      <c r="B26" s="73"/>
      <c r="C26" s="73"/>
      <c r="D26" s="341">
        <f t="shared" ref="D26:M26" si="9">D17</f>
        <v>0</v>
      </c>
      <c r="E26" s="342">
        <f t="shared" si="9"/>
        <v>0</v>
      </c>
      <c r="F26" s="342">
        <f t="shared" si="9"/>
        <v>0</v>
      </c>
      <c r="G26" s="344">
        <f t="shared" si="9"/>
        <v>0</v>
      </c>
      <c r="H26" s="344">
        <f t="shared" si="9"/>
        <v>185414.93923458137</v>
      </c>
      <c r="I26" s="344">
        <f t="shared" si="9"/>
        <v>197717.7657908524</v>
      </c>
      <c r="J26" s="338">
        <f t="shared" si="9"/>
        <v>210591.88849518856</v>
      </c>
      <c r="K26" s="338">
        <f t="shared" si="9"/>
        <v>224060.51257257315</v>
      </c>
      <c r="L26" s="338">
        <f t="shared" si="9"/>
        <v>238147.72139495521</v>
      </c>
      <c r="M26" s="346">
        <f t="shared" si="9"/>
        <v>252878.50828536481</v>
      </c>
      <c r="N26" s="7"/>
      <c r="O26" s="7"/>
      <c r="P26" s="7"/>
      <c r="Q26" s="7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15">
      <c r="A27" s="319" t="s">
        <v>324</v>
      </c>
      <c r="B27" s="321"/>
      <c r="C27" s="321"/>
      <c r="D27" s="341"/>
      <c r="E27" s="342"/>
      <c r="F27" s="342"/>
      <c r="G27" s="344"/>
      <c r="H27" s="344"/>
      <c r="I27" s="344"/>
      <c r="J27" s="338"/>
      <c r="K27" s="338"/>
      <c r="L27" s="338"/>
      <c r="M27" s="453">
        <f>M26/B25</f>
        <v>3612550.1183623541</v>
      </c>
      <c r="N27" s="7"/>
      <c r="O27" s="7"/>
      <c r="P27" s="7"/>
      <c r="Q27" s="7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15">
      <c r="A28" s="319" t="s">
        <v>325</v>
      </c>
      <c r="B28" s="321">
        <v>0.03</v>
      </c>
      <c r="C28" s="321"/>
      <c r="D28" s="400"/>
      <c r="E28" s="401"/>
      <c r="F28" s="401"/>
      <c r="G28" s="402"/>
      <c r="H28" s="402"/>
      <c r="I28" s="402"/>
      <c r="J28" s="404"/>
      <c r="K28" s="404"/>
      <c r="L28" s="404"/>
      <c r="M28" s="346">
        <f>-M27*B28</f>
        <v>-108376.50355087062</v>
      </c>
      <c r="N28" s="7"/>
      <c r="O28" s="7"/>
      <c r="P28" s="7"/>
      <c r="Q28" s="7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15">
      <c r="A29" s="318" t="s">
        <v>170</v>
      </c>
      <c r="B29" s="73"/>
      <c r="C29" s="73"/>
      <c r="D29" s="341">
        <f t="shared" ref="D29:M29" si="10">D23</f>
        <v>0</v>
      </c>
      <c r="E29" s="342">
        <f t="shared" si="10"/>
        <v>0</v>
      </c>
      <c r="F29" s="342">
        <f t="shared" si="10"/>
        <v>0</v>
      </c>
      <c r="G29" s="344">
        <f t="shared" si="10"/>
        <v>-1647191.5408872003</v>
      </c>
      <c r="H29" s="344">
        <f t="shared" si="10"/>
        <v>0</v>
      </c>
      <c r="I29" s="344">
        <f t="shared" si="10"/>
        <v>0</v>
      </c>
      <c r="J29" s="338">
        <f t="shared" si="10"/>
        <v>-2035295.5728979837</v>
      </c>
      <c r="K29" s="338">
        <f t="shared" si="10"/>
        <v>0</v>
      </c>
      <c r="L29" s="338">
        <f t="shared" si="10"/>
        <v>0</v>
      </c>
      <c r="M29" s="346">
        <f t="shared" si="10"/>
        <v>0</v>
      </c>
      <c r="N29" s="7"/>
      <c r="O29" s="7"/>
      <c r="P29" s="7"/>
      <c r="Q29" s="7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15">
      <c r="A30" s="370" t="s">
        <v>326</v>
      </c>
      <c r="B30" s="371"/>
      <c r="C30" s="371"/>
      <c r="D30" s="454"/>
      <c r="E30" s="455"/>
      <c r="F30" s="455"/>
      <c r="G30" s="456">
        <f t="shared" ref="G30:M30" si="11">SUM(G26:G29)</f>
        <v>-1647191.5408872003</v>
      </c>
      <c r="H30" s="456">
        <f t="shared" si="11"/>
        <v>185414.93923458137</v>
      </c>
      <c r="I30" s="456">
        <f t="shared" si="11"/>
        <v>197717.7657908524</v>
      </c>
      <c r="J30" s="457">
        <f t="shared" si="11"/>
        <v>-1824703.684402795</v>
      </c>
      <c r="K30" s="457">
        <f t="shared" si="11"/>
        <v>224060.51257257315</v>
      </c>
      <c r="L30" s="457">
        <f t="shared" si="11"/>
        <v>238147.72139495521</v>
      </c>
      <c r="M30" s="458">
        <f t="shared" si="11"/>
        <v>3757052.1230968479</v>
      </c>
      <c r="N30" s="7"/>
      <c r="O30" s="7"/>
      <c r="P30" s="7"/>
      <c r="Q30" s="7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15">
      <c r="A31" s="415" t="s">
        <v>327</v>
      </c>
      <c r="B31" s="424">
        <v>0.08</v>
      </c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26"/>
      <c r="N31" s="7"/>
      <c r="O31" s="7"/>
      <c r="P31" s="7"/>
      <c r="Q31" s="7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15">
      <c r="A32" s="318" t="s">
        <v>218</v>
      </c>
      <c r="B32" s="321"/>
      <c r="C32" s="321"/>
      <c r="D32" s="428">
        <f t="array" ref="D32">NPV(B31,D30:M30)</f>
        <v>-55701.761803707035</v>
      </c>
      <c r="E32" s="384"/>
      <c r="F32" s="384"/>
      <c r="G32" s="386"/>
      <c r="H32" s="386"/>
      <c r="I32" s="386"/>
      <c r="J32" s="390"/>
      <c r="K32" s="390"/>
      <c r="L32" s="390"/>
      <c r="M32" s="391"/>
      <c r="N32" s="7"/>
      <c r="O32" s="7"/>
      <c r="P32" s="7"/>
      <c r="Q32" s="7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15">
      <c r="A33" s="318" t="s">
        <v>224</v>
      </c>
      <c r="B33" s="73"/>
      <c r="C33" s="73"/>
      <c r="D33" s="429">
        <f>IRR(D30:M30,B31)</f>
        <v>7.4617729573372094E-2</v>
      </c>
      <c r="E33" s="342"/>
      <c r="F33" s="342"/>
      <c r="G33" s="344"/>
      <c r="H33" s="344"/>
      <c r="I33" s="344"/>
      <c r="J33" s="338"/>
      <c r="K33" s="338"/>
      <c r="L33" s="338"/>
      <c r="M33" s="346"/>
      <c r="N33" s="7"/>
      <c r="O33" s="7"/>
      <c r="P33" s="7"/>
      <c r="Q33" s="7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15">
      <c r="A34" s="430" t="s">
        <v>229</v>
      </c>
      <c r="B34" s="124"/>
      <c r="C34" s="124"/>
      <c r="D34" s="431"/>
      <c r="E34" s="432"/>
      <c r="F34" s="432"/>
      <c r="G34" s="433"/>
      <c r="H34" s="433"/>
      <c r="I34" s="433"/>
      <c r="J34" s="434"/>
      <c r="K34" s="434"/>
      <c r="L34" s="434"/>
      <c r="M34" s="435"/>
      <c r="N34" s="7"/>
      <c r="O34" s="7"/>
      <c r="P34" s="7"/>
      <c r="Q34" s="7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15">
      <c r="A35" s="7"/>
      <c r="B35" s="16"/>
      <c r="C35" s="1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2"/>
      <c r="S35" s="2"/>
      <c r="T35" s="2"/>
      <c r="U35" s="2"/>
      <c r="V35" s="2"/>
      <c r="W35" s="2"/>
      <c r="X35" s="2"/>
      <c r="Y35" s="2"/>
      <c r="Z35" s="2"/>
    </row>
    <row r="36" spans="1:26" ht="13" x14ac:dyDescent="0.1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" x14ac:dyDescent="0.1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" x14ac:dyDescent="0.1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" x14ac:dyDescent="0.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" x14ac:dyDescent="0.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E3:F3"/>
    <mergeCell ref="G3:I3"/>
    <mergeCell ref="J3:M3"/>
  </mergeCells>
  <phoneticPr fontId="24" type="noConversion"/>
  <conditionalFormatting sqref="C5:M19 C21:M34 B31:B34">
    <cfRule type="cellIs" dxfId="3" priority="1" operator="lessThan">
      <formula>0</formula>
    </cfRule>
  </conditionalFormatting>
  <pageMargins left="0.7" right="0.7" top="0.75" bottom="0.75" header="0.3" footer="0.3"/>
  <pageSetup paperSize="3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34" sqref="D33:D34"/>
    </sheetView>
  </sheetViews>
  <sheetFormatPr baseColWidth="10" defaultColWidth="17.33203125" defaultRowHeight="15" customHeight="1" x14ac:dyDescent="0.15"/>
  <cols>
    <col min="1" max="1" width="25.5" customWidth="1"/>
    <col min="2" max="13" width="11.5" customWidth="1"/>
    <col min="14" max="23" width="9.1640625" customWidth="1"/>
  </cols>
  <sheetData>
    <row r="1" spans="1:26" ht="13.5" customHeight="1" x14ac:dyDescent="0.15">
      <c r="A1" s="7"/>
      <c r="B1" s="16"/>
      <c r="C1" s="16"/>
      <c r="D1" s="7"/>
      <c r="E1" s="7"/>
      <c r="F1" s="7"/>
      <c r="G1" s="7"/>
      <c r="H1" s="7"/>
      <c r="I1" s="7"/>
      <c r="J1" s="7"/>
      <c r="K1" s="7"/>
      <c r="L1" s="670" t="s">
        <v>3</v>
      </c>
      <c r="M1" s="272">
        <v>176272</v>
      </c>
      <c r="N1" s="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15">
      <c r="A2" s="7"/>
      <c r="B2" s="16"/>
      <c r="C2" s="1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15">
      <c r="A3" s="303" t="s">
        <v>42</v>
      </c>
      <c r="B3" s="304"/>
      <c r="C3" s="304" t="s">
        <v>18</v>
      </c>
      <c r="D3" s="305" t="s">
        <v>19</v>
      </c>
      <c r="E3" s="697" t="s">
        <v>20</v>
      </c>
      <c r="F3" s="684"/>
      <c r="G3" s="698" t="s">
        <v>21</v>
      </c>
      <c r="H3" s="677"/>
      <c r="I3" s="684"/>
      <c r="J3" s="694" t="s">
        <v>22</v>
      </c>
      <c r="K3" s="677"/>
      <c r="L3" s="677"/>
      <c r="M3" s="682"/>
      <c r="N3" s="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15">
      <c r="A4" s="307"/>
      <c r="B4" s="309" t="s">
        <v>25</v>
      </c>
      <c r="C4" s="309" t="s">
        <v>24</v>
      </c>
      <c r="D4" s="310">
        <v>2019</v>
      </c>
      <c r="E4" s="312">
        <f t="shared" ref="E4:M4" si="0">D4+1</f>
        <v>2020</v>
      </c>
      <c r="F4" s="312">
        <f t="shared" si="0"/>
        <v>2021</v>
      </c>
      <c r="G4" s="314">
        <f t="shared" si="0"/>
        <v>2022</v>
      </c>
      <c r="H4" s="314">
        <f t="shared" si="0"/>
        <v>2023</v>
      </c>
      <c r="I4" s="314">
        <f t="shared" si="0"/>
        <v>2024</v>
      </c>
      <c r="J4" s="315">
        <f t="shared" si="0"/>
        <v>2025</v>
      </c>
      <c r="K4" s="315">
        <f t="shared" si="0"/>
        <v>2026</v>
      </c>
      <c r="L4" s="315">
        <f t="shared" si="0"/>
        <v>2027</v>
      </c>
      <c r="M4" s="317">
        <f t="shared" si="0"/>
        <v>2028</v>
      </c>
      <c r="N4" s="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15">
      <c r="A5" s="318" t="s">
        <v>302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4"/>
      <c r="N5" s="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15">
      <c r="A6" s="319" t="s">
        <v>244</v>
      </c>
      <c r="B6" s="331">
        <f>'Project Data'!B3</f>
        <v>3.5000000000000003E-2</v>
      </c>
      <c r="C6" s="321"/>
      <c r="D6" s="322"/>
      <c r="E6" s="323"/>
      <c r="F6" s="323"/>
      <c r="G6" s="324"/>
      <c r="H6" s="324"/>
      <c r="I6" s="324"/>
      <c r="J6" s="325"/>
      <c r="K6" s="325"/>
      <c r="L6" s="325"/>
      <c r="M6" s="326"/>
      <c r="N6" s="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15">
      <c r="A7" s="319" t="s">
        <v>53</v>
      </c>
      <c r="B7" s="73">
        <f>'Project Data'!E19</f>
        <v>750</v>
      </c>
      <c r="C7" s="73"/>
      <c r="D7" s="322"/>
      <c r="E7" s="323"/>
      <c r="F7" s="323"/>
      <c r="G7" s="324"/>
      <c r="H7" s="324"/>
      <c r="I7" s="324"/>
      <c r="J7" s="325"/>
      <c r="K7" s="325"/>
      <c r="L7" s="325"/>
      <c r="M7" s="326"/>
      <c r="N7" s="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15">
      <c r="A8" s="319" t="s">
        <v>336</v>
      </c>
      <c r="B8" s="321">
        <v>0.85</v>
      </c>
      <c r="C8" s="73"/>
      <c r="D8" s="322"/>
      <c r="E8" s="323"/>
      <c r="F8" s="323"/>
      <c r="G8" s="324"/>
      <c r="H8" s="324"/>
      <c r="I8" s="324"/>
      <c r="J8" s="325"/>
      <c r="K8" s="325"/>
      <c r="L8" s="325"/>
      <c r="M8" s="326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15">
      <c r="A9" s="319" t="s">
        <v>337</v>
      </c>
      <c r="B9" s="64">
        <f>'Project Data'!E18*12</f>
        <v>30</v>
      </c>
      <c r="C9" s="64"/>
      <c r="D9" s="403">
        <f>B9</f>
        <v>30</v>
      </c>
      <c r="E9" s="351">
        <f t="shared" ref="E9:M9" si="1">D9*(1+$B$6)</f>
        <v>31.049999999999997</v>
      </c>
      <c r="F9" s="351">
        <f t="shared" si="1"/>
        <v>32.136749999999992</v>
      </c>
      <c r="G9" s="353">
        <f t="shared" si="1"/>
        <v>33.261536249999992</v>
      </c>
      <c r="H9" s="444">
        <f t="shared" si="1"/>
        <v>34.425690018749989</v>
      </c>
      <c r="I9" s="444">
        <f t="shared" si="1"/>
        <v>35.630589169406235</v>
      </c>
      <c r="J9" s="355">
        <f t="shared" si="1"/>
        <v>36.87765979033545</v>
      </c>
      <c r="K9" s="357">
        <f t="shared" si="1"/>
        <v>38.168377882997184</v>
      </c>
      <c r="L9" s="357">
        <f t="shared" si="1"/>
        <v>39.504271108902081</v>
      </c>
      <c r="M9" s="359">
        <f t="shared" si="1"/>
        <v>40.886920597713655</v>
      </c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15">
      <c r="A10" s="319" t="s">
        <v>305</v>
      </c>
      <c r="B10" s="331">
        <v>0.75</v>
      </c>
      <c r="C10" s="331"/>
      <c r="D10" s="459"/>
      <c r="E10" s="460"/>
      <c r="F10" s="460"/>
      <c r="G10" s="461"/>
      <c r="H10" s="462">
        <f>$B$10</f>
        <v>0.75</v>
      </c>
      <c r="I10" s="462">
        <f t="shared" ref="I10:M10" si="2">H10+2%</f>
        <v>0.77</v>
      </c>
      <c r="J10" s="463">
        <f t="shared" si="2"/>
        <v>0.79</v>
      </c>
      <c r="K10" s="464">
        <f t="shared" si="2"/>
        <v>0.81</v>
      </c>
      <c r="L10" s="464">
        <f t="shared" si="2"/>
        <v>0.83000000000000007</v>
      </c>
      <c r="M10" s="465">
        <f t="shared" si="2"/>
        <v>0.85000000000000009</v>
      </c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15">
      <c r="A11" s="319" t="s">
        <v>306</v>
      </c>
      <c r="B11" s="348">
        <f>'Project Data'!$G$134*0.8</f>
        <v>47854.400000000001</v>
      </c>
      <c r="C11" s="331"/>
      <c r="D11" s="341"/>
      <c r="E11" s="342"/>
      <c r="F11" s="342"/>
      <c r="G11" s="344"/>
      <c r="H11" s="344"/>
      <c r="I11" s="344"/>
      <c r="J11" s="338"/>
      <c r="K11" s="338"/>
      <c r="L11" s="338"/>
      <c r="M11" s="346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15">
      <c r="A12" s="319" t="s">
        <v>307</v>
      </c>
      <c r="B12" s="64">
        <f>'Project Data'!E22</f>
        <v>105</v>
      </c>
      <c r="C12" s="331"/>
      <c r="D12" s="334">
        <f>B12</f>
        <v>105</v>
      </c>
      <c r="E12" s="335">
        <f t="shared" ref="E12:G12" si="3">D12*(1+$B$6)</f>
        <v>108.675</v>
      </c>
      <c r="F12" s="335">
        <f t="shared" si="3"/>
        <v>112.47862499999999</v>
      </c>
      <c r="G12" s="466">
        <f t="shared" si="3"/>
        <v>116.41537687499998</v>
      </c>
      <c r="H12" s="336"/>
      <c r="I12" s="336"/>
      <c r="J12" s="337"/>
      <c r="K12" s="337"/>
      <c r="L12" s="337"/>
      <c r="M12" s="339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15">
      <c r="A13" s="319" t="s">
        <v>285</v>
      </c>
      <c r="B13" s="64">
        <f>'Project Data'!B11</f>
        <v>5</v>
      </c>
      <c r="C13" s="331"/>
      <c r="D13" s="334">
        <f>$B$13</f>
        <v>5</v>
      </c>
      <c r="E13" s="335">
        <f t="shared" ref="E13:G13" si="4">D13*(1+$B$6)</f>
        <v>5.1749999999999998</v>
      </c>
      <c r="F13" s="335">
        <f t="shared" si="4"/>
        <v>5.3561249999999996</v>
      </c>
      <c r="G13" s="466">
        <f t="shared" si="4"/>
        <v>5.5435893749999989</v>
      </c>
      <c r="H13" s="336"/>
      <c r="I13" s="336"/>
      <c r="J13" s="337"/>
      <c r="K13" s="337"/>
      <c r="L13" s="337"/>
      <c r="M13" s="339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15">
      <c r="A14" s="319" t="s">
        <v>338</v>
      </c>
      <c r="B14" s="64">
        <f>'Project Data'!E20*12</f>
        <v>4.8000000000000007</v>
      </c>
      <c r="C14" s="331"/>
      <c r="D14" s="327">
        <f>B14</f>
        <v>4.8000000000000007</v>
      </c>
      <c r="E14" s="328">
        <f t="shared" ref="E14:M14" si="5">D14*(1+$B$6)</f>
        <v>4.968</v>
      </c>
      <c r="F14" s="328">
        <f t="shared" si="5"/>
        <v>5.1418799999999996</v>
      </c>
      <c r="G14" s="329">
        <f t="shared" si="5"/>
        <v>5.3218457999999993</v>
      </c>
      <c r="H14" s="438">
        <f t="shared" si="5"/>
        <v>5.508110402999999</v>
      </c>
      <c r="I14" s="438">
        <f t="shared" si="5"/>
        <v>5.7008942671049985</v>
      </c>
      <c r="J14" s="367">
        <f t="shared" si="5"/>
        <v>5.9004255664536727</v>
      </c>
      <c r="K14" s="367">
        <f t="shared" si="5"/>
        <v>6.1069404612795504</v>
      </c>
      <c r="L14" s="367">
        <f t="shared" si="5"/>
        <v>6.3206833774243343</v>
      </c>
      <c r="M14" s="369">
        <f t="shared" si="5"/>
        <v>6.5419072956341857</v>
      </c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15">
      <c r="A15" s="318" t="s">
        <v>313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4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5" customHeight="1" x14ac:dyDescent="0.15">
      <c r="A16" s="319" t="s">
        <v>314</v>
      </c>
      <c r="B16" s="73"/>
      <c r="C16" s="73"/>
      <c r="D16" s="341"/>
      <c r="E16" s="342"/>
      <c r="F16" s="342"/>
      <c r="G16" s="344"/>
      <c r="H16" s="344">
        <f t="shared" ref="H16:K16" si="6">H9*$B$11*$B$8*H10</f>
        <v>1050230.7220262093</v>
      </c>
      <c r="I16" s="344">
        <f t="shared" si="6"/>
        <v>1115975.1652250499</v>
      </c>
      <c r="J16" s="338">
        <f t="shared" si="6"/>
        <v>1185035.1868133273</v>
      </c>
      <c r="K16" s="338">
        <f t="shared" si="6"/>
        <v>1257562.3403353833</v>
      </c>
      <c r="L16" s="338">
        <f t="shared" ref="L16:M16" si="7">L9*$B$11*$B$8*K10</f>
        <v>1301577.0222471214</v>
      </c>
      <c r="M16" s="346">
        <f t="shared" si="7"/>
        <v>1380394.7419276419</v>
      </c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15">
      <c r="A17" s="319" t="s">
        <v>317</v>
      </c>
      <c r="B17" s="73"/>
      <c r="C17" s="73"/>
      <c r="D17" s="368"/>
      <c r="E17" s="342"/>
      <c r="F17" s="342"/>
      <c r="G17" s="344"/>
      <c r="H17" s="344">
        <f t="shared" ref="H17:M17" si="8">H14*$B$11*H10*$B$8</f>
        <v>168036.91552419349</v>
      </c>
      <c r="I17" s="344">
        <f t="shared" si="8"/>
        <v>178556.02643600802</v>
      </c>
      <c r="J17" s="338">
        <f t="shared" si="8"/>
        <v>189605.62989013238</v>
      </c>
      <c r="K17" s="338">
        <f t="shared" si="8"/>
        <v>201209.97445366136</v>
      </c>
      <c r="L17" s="338">
        <f t="shared" si="8"/>
        <v>213394.35624002194</v>
      </c>
      <c r="M17" s="346">
        <f t="shared" si="8"/>
        <v>226185.16253272202</v>
      </c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5" customHeight="1" x14ac:dyDescent="0.15">
      <c r="A18" s="318" t="s">
        <v>177</v>
      </c>
      <c r="B18" s="73"/>
      <c r="C18" s="73"/>
      <c r="D18" s="341"/>
      <c r="E18" s="342"/>
      <c r="F18" s="342"/>
      <c r="G18" s="344"/>
      <c r="H18" s="344">
        <f t="shared" ref="H18:M18" si="9">H16-H17</f>
        <v>882193.8065020158</v>
      </c>
      <c r="I18" s="344">
        <f t="shared" si="9"/>
        <v>937419.1387890419</v>
      </c>
      <c r="J18" s="338">
        <f t="shared" si="9"/>
        <v>995429.5569231949</v>
      </c>
      <c r="K18" s="338">
        <f t="shared" si="9"/>
        <v>1056352.365881722</v>
      </c>
      <c r="L18" s="338">
        <f t="shared" si="9"/>
        <v>1088182.6660070994</v>
      </c>
      <c r="M18" s="346">
        <f t="shared" si="9"/>
        <v>1154209.5793949198</v>
      </c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15">
      <c r="A19" s="318" t="s">
        <v>106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4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 x14ac:dyDescent="0.15">
      <c r="A20" s="319" t="s">
        <v>320</v>
      </c>
      <c r="B20" s="73"/>
      <c r="C20" s="321"/>
      <c r="D20" s="382"/>
      <c r="E20" s="349"/>
      <c r="F20" s="349"/>
      <c r="G20" s="350">
        <v>1</v>
      </c>
      <c r="H20" s="350"/>
      <c r="I20" s="350"/>
      <c r="J20" s="332"/>
      <c r="K20" s="332"/>
      <c r="L20" s="332"/>
      <c r="M20" s="333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15">
      <c r="A21" s="319" t="s">
        <v>339</v>
      </c>
      <c r="B21" s="73"/>
      <c r="C21" s="321"/>
      <c r="D21" s="382">
        <f>D20</f>
        <v>0</v>
      </c>
      <c r="E21" s="349"/>
      <c r="F21" s="349"/>
      <c r="G21" s="350">
        <f t="shared" ref="G21:M21" si="10">F21+G20</f>
        <v>1</v>
      </c>
      <c r="H21" s="350">
        <f t="shared" si="10"/>
        <v>1</v>
      </c>
      <c r="I21" s="350">
        <f t="shared" si="10"/>
        <v>1</v>
      </c>
      <c r="J21" s="350">
        <f t="shared" si="10"/>
        <v>1</v>
      </c>
      <c r="K21" s="350">
        <f t="shared" si="10"/>
        <v>1</v>
      </c>
      <c r="L21" s="350">
        <f t="shared" si="10"/>
        <v>1</v>
      </c>
      <c r="M21" s="350">
        <f t="shared" si="10"/>
        <v>1</v>
      </c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15">
      <c r="A22" s="319" t="s">
        <v>323</v>
      </c>
      <c r="B22" s="73"/>
      <c r="C22" s="73"/>
      <c r="D22" s="341"/>
      <c r="E22" s="384"/>
      <c r="F22" s="384"/>
      <c r="G22" s="344">
        <f>-G12*$B$11*G20</f>
        <v>-5570988.0111269988</v>
      </c>
      <c r="H22" s="386"/>
      <c r="I22" s="386"/>
      <c r="J22" s="338"/>
      <c r="K22" s="338"/>
      <c r="L22" s="390"/>
      <c r="M22" s="391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15">
      <c r="A23" s="319" t="s">
        <v>56</v>
      </c>
      <c r="B23" s="331">
        <f>'Project Data'!B12</f>
        <v>0.2</v>
      </c>
      <c r="C23" s="73"/>
      <c r="D23" s="341"/>
      <c r="E23" s="384"/>
      <c r="F23" s="384"/>
      <c r="G23" s="344">
        <f>$B$23*G22</f>
        <v>-1114197.6022253998</v>
      </c>
      <c r="H23" s="386"/>
      <c r="I23" s="386"/>
      <c r="J23" s="338"/>
      <c r="K23" s="338"/>
      <c r="L23" s="390"/>
      <c r="M23" s="391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15">
      <c r="A24" s="318" t="s">
        <v>170</v>
      </c>
      <c r="B24" s="73"/>
      <c r="C24" s="73"/>
      <c r="D24" s="341"/>
      <c r="E24" s="342"/>
      <c r="F24" s="342"/>
      <c r="G24" s="344">
        <f>SUM(G22:G23)</f>
        <v>-6685185.6133523984</v>
      </c>
      <c r="H24" s="344"/>
      <c r="I24" s="344"/>
      <c r="J24" s="338"/>
      <c r="K24" s="338"/>
      <c r="L24" s="338"/>
      <c r="M24" s="346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5" customHeight="1" x14ac:dyDescent="0.15">
      <c r="A25" s="318" t="s">
        <v>174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4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15">
      <c r="A26" s="319" t="s">
        <v>177</v>
      </c>
      <c r="B26" s="73"/>
      <c r="C26" s="73"/>
      <c r="D26" s="341">
        <f t="shared" ref="D26:M26" si="11">D18</f>
        <v>0</v>
      </c>
      <c r="E26" s="342">
        <f t="shared" si="11"/>
        <v>0</v>
      </c>
      <c r="F26" s="342">
        <f t="shared" si="11"/>
        <v>0</v>
      </c>
      <c r="G26" s="344">
        <f t="shared" si="11"/>
        <v>0</v>
      </c>
      <c r="H26" s="344">
        <f t="shared" si="11"/>
        <v>882193.8065020158</v>
      </c>
      <c r="I26" s="344">
        <f t="shared" si="11"/>
        <v>937419.1387890419</v>
      </c>
      <c r="J26" s="338">
        <f t="shared" si="11"/>
        <v>995429.5569231949</v>
      </c>
      <c r="K26" s="338">
        <f t="shared" si="11"/>
        <v>1056352.365881722</v>
      </c>
      <c r="L26" s="338">
        <f t="shared" si="11"/>
        <v>1088182.6660070994</v>
      </c>
      <c r="M26" s="346">
        <f t="shared" si="11"/>
        <v>1154209.5793949198</v>
      </c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15">
      <c r="A27" s="319" t="s">
        <v>61</v>
      </c>
      <c r="B27" s="321">
        <v>7.0000000000000007E-2</v>
      </c>
      <c r="C27" s="321"/>
      <c r="D27" s="341"/>
      <c r="E27" s="342"/>
      <c r="F27" s="342"/>
      <c r="G27" s="344"/>
      <c r="H27" s="344"/>
      <c r="I27" s="344"/>
      <c r="J27" s="338"/>
      <c r="K27" s="338"/>
      <c r="L27" s="338"/>
      <c r="M27" s="346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15">
      <c r="A28" s="319" t="s">
        <v>324</v>
      </c>
      <c r="B28" s="321"/>
      <c r="C28" s="321"/>
      <c r="D28" s="341"/>
      <c r="E28" s="342"/>
      <c r="F28" s="342"/>
      <c r="G28" s="344"/>
      <c r="H28" s="344"/>
      <c r="I28" s="344"/>
      <c r="J28" s="338"/>
      <c r="K28" s="338"/>
      <c r="L28" s="338"/>
      <c r="M28" s="467">
        <f>M26/B27</f>
        <v>16488708.277070282</v>
      </c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15">
      <c r="A29" s="319" t="s">
        <v>325</v>
      </c>
      <c r="B29" s="321">
        <f>'Project Data'!B6</f>
        <v>0.03</v>
      </c>
      <c r="C29" s="321"/>
      <c r="D29" s="400"/>
      <c r="E29" s="401"/>
      <c r="F29" s="401"/>
      <c r="G29" s="402"/>
      <c r="H29" s="402"/>
      <c r="I29" s="402"/>
      <c r="J29" s="404"/>
      <c r="K29" s="404"/>
      <c r="L29" s="404"/>
      <c r="M29" s="346">
        <f>M28*B29</f>
        <v>494661.24831210845</v>
      </c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15">
      <c r="A30" s="318" t="s">
        <v>170</v>
      </c>
      <c r="B30" s="73"/>
      <c r="C30" s="73"/>
      <c r="D30" s="341">
        <f t="shared" ref="D30:M30" si="12">D24</f>
        <v>0</v>
      </c>
      <c r="E30" s="342">
        <f t="shared" si="12"/>
        <v>0</v>
      </c>
      <c r="F30" s="342">
        <f t="shared" si="12"/>
        <v>0</v>
      </c>
      <c r="G30" s="344">
        <f t="shared" si="12"/>
        <v>-6685185.6133523984</v>
      </c>
      <c r="H30" s="344">
        <f t="shared" si="12"/>
        <v>0</v>
      </c>
      <c r="I30" s="344">
        <f t="shared" si="12"/>
        <v>0</v>
      </c>
      <c r="J30" s="338">
        <f t="shared" si="12"/>
        <v>0</v>
      </c>
      <c r="K30" s="338">
        <f t="shared" si="12"/>
        <v>0</v>
      </c>
      <c r="L30" s="338">
        <f t="shared" si="12"/>
        <v>0</v>
      </c>
      <c r="M30" s="346">
        <f t="shared" si="12"/>
        <v>0</v>
      </c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15">
      <c r="A31" s="318" t="s">
        <v>326</v>
      </c>
      <c r="B31" s="73"/>
      <c r="C31" s="73"/>
      <c r="D31" s="468"/>
      <c r="E31" s="469"/>
      <c r="F31" s="469"/>
      <c r="G31" s="449">
        <f t="shared" ref="G31:M31" si="13">SUM(G26:G30)</f>
        <v>-6685185.6133523984</v>
      </c>
      <c r="H31" s="449">
        <f t="shared" si="13"/>
        <v>882193.8065020158</v>
      </c>
      <c r="I31" s="449">
        <f t="shared" si="13"/>
        <v>937419.1387890419</v>
      </c>
      <c r="J31" s="450">
        <f t="shared" si="13"/>
        <v>995429.5569231949</v>
      </c>
      <c r="K31" s="450">
        <f t="shared" si="13"/>
        <v>1056352.365881722</v>
      </c>
      <c r="L31" s="450">
        <f t="shared" si="13"/>
        <v>1088182.6660070994</v>
      </c>
      <c r="M31" s="451">
        <f t="shared" si="13"/>
        <v>18137579.10477731</v>
      </c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15">
      <c r="A32" s="318" t="s">
        <v>327</v>
      </c>
      <c r="B32" s="321">
        <v>0.08</v>
      </c>
      <c r="C32" s="321"/>
      <c r="D32" s="341"/>
      <c r="E32" s="342"/>
      <c r="F32" s="342"/>
      <c r="G32" s="344"/>
      <c r="H32" s="344"/>
      <c r="I32" s="344"/>
      <c r="J32" s="338"/>
      <c r="K32" s="338"/>
      <c r="L32" s="338"/>
      <c r="M32" s="346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15">
      <c r="A33" s="318" t="s">
        <v>218</v>
      </c>
      <c r="B33" s="321"/>
      <c r="C33" s="321"/>
      <c r="D33" s="926">
        <f t="array" ref="D33">NPV(B32,D31:M31)</f>
        <v>8029954.8306576144</v>
      </c>
      <c r="E33" s="342"/>
      <c r="F33" s="342"/>
      <c r="G33" s="344"/>
      <c r="H33" s="344"/>
      <c r="I33" s="344"/>
      <c r="J33" s="338"/>
      <c r="K33" s="338"/>
      <c r="L33" s="338"/>
      <c r="M33" s="346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15">
      <c r="A34" s="318" t="s">
        <v>224</v>
      </c>
      <c r="B34" s="73"/>
      <c r="C34" s="73"/>
      <c r="D34" s="429">
        <f>IRR(D31:M31,B32)</f>
        <v>0.27533430430193717</v>
      </c>
      <c r="E34" s="342"/>
      <c r="F34" s="342"/>
      <c r="G34" s="344"/>
      <c r="H34" s="344"/>
      <c r="I34" s="344"/>
      <c r="J34" s="338"/>
      <c r="K34" s="338"/>
      <c r="L34" s="338"/>
      <c r="M34" s="346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15">
      <c r="A35" s="430" t="s">
        <v>229</v>
      </c>
      <c r="B35" s="124"/>
      <c r="C35" s="124"/>
      <c r="D35" s="431"/>
      <c r="E35" s="432"/>
      <c r="F35" s="432"/>
      <c r="G35" s="433"/>
      <c r="H35" s="433"/>
      <c r="I35" s="433"/>
      <c r="J35" s="434"/>
      <c r="K35" s="434"/>
      <c r="L35" s="434"/>
      <c r="M35" s="435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15">
      <c r="A36" s="7"/>
      <c r="B36" s="16"/>
      <c r="C36" s="1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" x14ac:dyDescent="0.1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" x14ac:dyDescent="0.1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" x14ac:dyDescent="0.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" x14ac:dyDescent="0.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" x14ac:dyDescent="0.1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 x14ac:dyDescent="0.1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 x14ac:dyDescent="0.1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 x14ac:dyDescent="0.1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E3:F3"/>
    <mergeCell ref="G3:I3"/>
    <mergeCell ref="J3:M3"/>
  </mergeCells>
  <phoneticPr fontId="24" type="noConversion"/>
  <conditionalFormatting sqref="C5:M5 C15:M15 C19:M19 C25:M25">
    <cfRule type="cellIs" dxfId="2" priority="1" operator="lessThan">
      <formula>0</formula>
    </cfRule>
  </conditionalFormatting>
  <pageMargins left="0.7" right="0.7" top="0.75" bottom="0.75" header="0.3" footer="0.3"/>
  <pageSetup paperSize="3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 Board</vt:lpstr>
      <vt:lpstr>Project Data</vt:lpstr>
      <vt:lpstr>Financing</vt:lpstr>
      <vt:lpstr>1. Light Industry and Workshops</vt:lpstr>
      <vt:lpstr>2. Hotel</vt:lpstr>
      <vt:lpstr>3. Upscale Rental Apartments</vt:lpstr>
      <vt:lpstr>4. Condominiums</vt:lpstr>
      <vt:lpstr>5. Affordable Rental Apartments</vt:lpstr>
      <vt:lpstr>6. Live Work Lofts</vt:lpstr>
      <vt:lpstr>7. Market Rental Apartments</vt:lpstr>
      <vt:lpstr>8. Offices, Incubators &amp; Educat</vt:lpstr>
      <vt:lpstr>9. Commercial - Retail</vt:lpstr>
      <vt:lpstr>10. Food Market</vt:lpstr>
      <vt:lpstr>11. Structured Parking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cp:lastPrinted>2017-01-23T06:47:39Z</cp:lastPrinted>
  <dcterms:created xsi:type="dcterms:W3CDTF">2017-01-21T18:04:32Z</dcterms:created>
  <dcterms:modified xsi:type="dcterms:W3CDTF">2017-01-23T18:37:34Z</dcterms:modified>
</cp:coreProperties>
</file>